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8.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7.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sharedStrings.xml" ContentType="application/vnd.openxmlformats-officedocument.spreadsheetml.sharedStrings+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worksheets/sheet12.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6.xml" ContentType="application/vnd.openxmlformats-officedocument.spreadsheetml.comments+xml"/>
  <Override PartName="/xl/comments3.xml" ContentType="application/vnd.openxmlformats-officedocument.spreadsheetml.comments+xml"/>
  <Override PartName="/xl/comments5.xml" ContentType="application/vnd.openxmlformats-officedocument.spreadsheetml.comments+xml"/>
  <Override PartName="/xl/comments2.xml" ContentType="application/vnd.openxmlformats-officedocument.spreadsheetml.comments+xml"/>
  <Override PartName="/xl/comments9.xml" ContentType="application/vnd.openxmlformats-officedocument.spreadsheetml.comments+xml"/>
  <Override PartName="/xl/comments12.xml" ContentType="application/vnd.openxmlformats-officedocument.spreadsheetml.comments+xml"/>
  <Override PartName="/xl/comments4.xml" ContentType="application/vnd.openxmlformats-officedocument.spreadsheetml.comments+xml"/>
  <Override PartName="/xl/comments11.xml" ContentType="application/vnd.openxmlformats-officedocument.spreadsheetml.comments+xml"/>
  <Override PartName="/xl/comments10.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QT NAM 2017\"/>
    </mc:Choice>
  </mc:AlternateContent>
  <bookViews>
    <workbookView xWindow="0" yWindow="0" windowWidth="16380" windowHeight="8190" tabRatio="949" firstSheet="1" activeTab="1"/>
  </bookViews>
  <sheets>
    <sheet name="CAN DOI_60_342" sheetId="1" state="hidden" r:id="rId1"/>
    <sheet name="BIEU 63_CK" sheetId="32" r:id="rId2"/>
    <sheet name="BIEU _CK" sheetId="28" state="hidden" r:id="rId3"/>
    <sheet name="CAN DOI 48_ND31 - BCUB" sheetId="2" state="hidden" r:id="rId4"/>
    <sheet name="CAN DOI 49_ND31" sheetId="3" state="hidden" r:id="rId5"/>
    <sheet name="TH THU 50_ND31" sheetId="27" state="hidden" r:id="rId6"/>
    <sheet name="TH CHI_53 ND31" sheetId="30" state="hidden" r:id="rId7"/>
    <sheet name="TH THU_61_342_50_31" sheetId="4" state="hidden" r:id="rId8"/>
    <sheet name="TH CHI_62_342_51_52_53_31" sheetId="5" state="hidden" r:id="rId9"/>
    <sheet name="CHI HUYEN 58_31" sheetId="7" state="hidden" r:id="rId10"/>
    <sheet name="TM DP, TT 68_342" sheetId="11" state="hidden" r:id="rId11"/>
    <sheet name="TM THIEN TAI 67_342" sheetId="15" state="hidden" r:id="rId12"/>
    <sheet name="TM QLHC 66_342" sheetId="16" state="hidden" r:id="rId13"/>
    <sheet name="BC KT TTRA_69_342" sheetId="20" state="hidden" r:id="rId14"/>
    <sheet name="CHUYEN NGUON_70_342" sheetId="21" state="hidden" r:id="rId15"/>
    <sheet name="MAU 59_342" sheetId="25" state="hidden" r:id="rId16"/>
    <sheet name="MAU 58_342" sheetId="24" state="hidden" r:id="rId17"/>
    <sheet name="DAU TU_HD" sheetId="26" state="hidden" r:id="rId18"/>
  </sheets>
  <definedNames>
    <definedName name="__xlnm.Print_Area" localSheetId="2">'BIEU _CK'!$A$3:$P$107</definedName>
    <definedName name="__xlnm.Print_Area" localSheetId="1">'BIEU 63_CK'!$A$2:$K$127</definedName>
    <definedName name="__xlnm.Print_Area" localSheetId="3">'CAN DOI 48_ND31 - BCUB'!$A$1:$H$54</definedName>
    <definedName name="__xlnm.Print_Area" localSheetId="4">'CAN DOI 49_ND31'!$A$1:$F$68</definedName>
    <definedName name="__xlnm.Print_Area" localSheetId="0">'CAN DOI_60_342'!$A$1:$L$31</definedName>
    <definedName name="__xlnm.Print_Area" localSheetId="9">'CHI HUYEN 58_31'!$A$3:$AO$26</definedName>
    <definedName name="__xlnm.Print_Area" localSheetId="10">'TM DP, TT 68_342'!$A$1:$F$29</definedName>
    <definedName name="__xlnm.Print_Area" localSheetId="12">'TM QLHC 66_342'!$B$1:$J$25</definedName>
    <definedName name="__xlnm.Print_Area" localSheetId="11">'TM THIEN TAI 67_342'!$A$1:$F$22</definedName>
    <definedName name="__xlnm.Print_Area" localSheetId="6">'TH CHI_53 ND31'!$A$1:$S$106</definedName>
    <definedName name="__xlnm.Print_Area" localSheetId="8">'TH CHI_62_342_51_52_53_31'!$A$1:$P$102</definedName>
    <definedName name="__xlnm.Print_Area" localSheetId="5">'TH THU 50_ND31'!$A$2:$K$127</definedName>
    <definedName name="__xlnm.Print_Area" localSheetId="7">'TH THU_61_342_50_31'!$A$1:$J$125</definedName>
    <definedName name="__xlnm.Print_Titles" localSheetId="2">'BIEU _CK'!$8:$9</definedName>
    <definedName name="__xlnm.Print_Titles" localSheetId="1">'BIEU 63_CK'!$8:$9</definedName>
    <definedName name="__xlnm.Print_Titles" localSheetId="3">'CAN DOI 48_ND31 - BCUB'!$8:$10</definedName>
    <definedName name="__xlnm.Print_Titles" localSheetId="4">'CAN DOI 49_ND31'!$8:$8</definedName>
    <definedName name="__xlnm.Print_Titles" localSheetId="6">'TH CHI_53 ND31'!$8:$10</definedName>
    <definedName name="__xlnm.Print_Titles" localSheetId="8">'TH CHI_62_342_51_52_53_31'!$4:$7</definedName>
    <definedName name="__xlnm.Print_Titles" localSheetId="5">'TH THU 50_ND31'!$8:$9</definedName>
    <definedName name="__xlnm.Print_Titles" localSheetId="7">'TH THU_61_342_50_31'!$4:$7</definedName>
    <definedName name="_xlnm.Print_Area" localSheetId="13">'BC KT TTRA_69_342'!$A$1:$I$76</definedName>
    <definedName name="_xlnm.Print_Area" localSheetId="0">'CAN DOI_60_342'!$A$1:$L$31</definedName>
    <definedName name="_xlnm.Print_Area" localSheetId="10">'TM DP, TT 68_342'!$A$1:$F$29</definedName>
    <definedName name="_xlnm.Print_Area" localSheetId="12">'TM QLHC 66_342'!$A$1:$J$26</definedName>
    <definedName name="_xlnm.Print_Area" localSheetId="11">'TM THIEN TAI 67_342'!$A$1:$F$22</definedName>
    <definedName name="_xlnm.Print_Area" localSheetId="8">'TH CHI_62_342_51_52_53_31'!$A$1:$P$102</definedName>
    <definedName name="_xlnm.Print_Area" localSheetId="7">'TH THU_61_342_50_31'!$A$1:$J$125</definedName>
    <definedName name="_xlnm.Print_Titles" localSheetId="13">'BC KT TTRA_69_342'!$6:$7</definedName>
    <definedName name="_xlnm.Print_Titles" localSheetId="2">'BIEU _CK'!$8:$9</definedName>
    <definedName name="_xlnm.Print_Titles" localSheetId="1">'BIEU 63_CK'!$8:$9</definedName>
    <definedName name="_xlnm.Print_Titles" localSheetId="4">'CAN DOI 49_ND31'!$8:$10</definedName>
    <definedName name="_xlnm.Print_Titles" localSheetId="17">'DAU TU_HD'!$8:$11</definedName>
    <definedName name="_xlnm.Print_Titles" localSheetId="6">'TH CHI_53 ND31'!$8:$10</definedName>
    <definedName name="_xlnm.Print_Titles" localSheetId="8">'TH CHI_62_342_51_52_53_31'!$4:$7</definedName>
    <definedName name="_xlnm.Print_Titles" localSheetId="5">'TH THU 50_ND31'!$8:$9</definedName>
    <definedName name="_xlnm.Print_Titles" localSheetId="7">'TH THU_61_342_50_31'!$4:$7</definedName>
  </definedNames>
  <calcPr calcId="152511"/>
</workbook>
</file>

<file path=xl/calcChain.xml><?xml version="1.0" encoding="utf-8"?>
<calcChain xmlns="http://schemas.openxmlformats.org/spreadsheetml/2006/main">
  <c r="D96" i="27" l="1"/>
  <c r="E96" i="27"/>
  <c r="E96" i="32"/>
  <c r="E94" i="32"/>
  <c r="D20" i="3" l="1"/>
  <c r="E26" i="2"/>
  <c r="D131" i="32" l="1"/>
  <c r="D123" i="32"/>
  <c r="L121" i="32"/>
  <c r="D121" i="32"/>
  <c r="D120" i="32"/>
  <c r="D119" i="32"/>
  <c r="L119" i="32" s="1"/>
  <c r="G118" i="32"/>
  <c r="I117" i="32"/>
  <c r="H117" i="32"/>
  <c r="H115" i="32" s="1"/>
  <c r="F117" i="32"/>
  <c r="C117" i="32"/>
  <c r="C115" i="32" s="1"/>
  <c r="B117" i="32"/>
  <c r="L116" i="32"/>
  <c r="D116" i="32"/>
  <c r="I115" i="32"/>
  <c r="B115" i="32"/>
  <c r="D114" i="32"/>
  <c r="D113" i="32"/>
  <c r="L113" i="32" s="1"/>
  <c r="D112" i="32"/>
  <c r="L112" i="32" s="1"/>
  <c r="D111" i="32"/>
  <c r="L111" i="32" s="1"/>
  <c r="D110" i="32"/>
  <c r="L110" i="32" s="1"/>
  <c r="I109" i="32"/>
  <c r="I105" i="32" s="1"/>
  <c r="H109" i="32"/>
  <c r="H105" i="32" s="1"/>
  <c r="G109" i="32"/>
  <c r="G105" i="32" s="1"/>
  <c r="F109" i="32"/>
  <c r="D108" i="32"/>
  <c r="L108" i="32" s="1"/>
  <c r="D107" i="32"/>
  <c r="F105" i="32"/>
  <c r="C105" i="32"/>
  <c r="B105" i="32"/>
  <c r="D104" i="32"/>
  <c r="L104" i="32" s="1"/>
  <c r="D103" i="32"/>
  <c r="L103" i="32" s="1"/>
  <c r="D102" i="32"/>
  <c r="L102" i="32" s="1"/>
  <c r="D101" i="32"/>
  <c r="E100" i="32"/>
  <c r="D100" i="32"/>
  <c r="E99" i="32"/>
  <c r="D99" i="32"/>
  <c r="N99" i="32" s="1"/>
  <c r="E98" i="32"/>
  <c r="D98" i="32"/>
  <c r="E97" i="32"/>
  <c r="D97" i="32"/>
  <c r="M96" i="32"/>
  <c r="N97" i="32" s="1"/>
  <c r="D96" i="32"/>
  <c r="I95" i="32"/>
  <c r="H95" i="32"/>
  <c r="G95" i="32"/>
  <c r="E95" i="32" s="1"/>
  <c r="E93" i="32" s="1"/>
  <c r="E92" i="32" s="1"/>
  <c r="F95" i="32"/>
  <c r="D95" i="32" s="1"/>
  <c r="C95" i="32"/>
  <c r="B95" i="32"/>
  <c r="D94" i="32"/>
  <c r="I93" i="32"/>
  <c r="I92" i="32" s="1"/>
  <c r="H93" i="32"/>
  <c r="G93" i="32"/>
  <c r="C93" i="32"/>
  <c r="C92" i="32" s="1"/>
  <c r="B93" i="32"/>
  <c r="B92" i="32" s="1"/>
  <c r="H92" i="32"/>
  <c r="G92" i="32"/>
  <c r="M91" i="32"/>
  <c r="E91" i="32"/>
  <c r="D91" i="32"/>
  <c r="E90" i="32"/>
  <c r="D90" i="32"/>
  <c r="I89" i="32"/>
  <c r="H89" i="32"/>
  <c r="G89" i="32"/>
  <c r="F89" i="32"/>
  <c r="E89" i="32"/>
  <c r="C89" i="32"/>
  <c r="B89" i="32"/>
  <c r="E88" i="32"/>
  <c r="D88" i="32"/>
  <c r="E87" i="32"/>
  <c r="D87" i="32"/>
  <c r="I86" i="32"/>
  <c r="I85" i="32" s="1"/>
  <c r="H86" i="32"/>
  <c r="H85" i="32" s="1"/>
  <c r="G86" i="32"/>
  <c r="F86" i="32"/>
  <c r="E86" i="32"/>
  <c r="C86" i="32"/>
  <c r="B86" i="32"/>
  <c r="F85" i="32"/>
  <c r="C85" i="32"/>
  <c r="B85" i="32"/>
  <c r="E84" i="32"/>
  <c r="D84" i="32"/>
  <c r="E83" i="32"/>
  <c r="D83" i="32"/>
  <c r="I82" i="32"/>
  <c r="H82" i="32"/>
  <c r="G82" i="32"/>
  <c r="E82" i="32" s="1"/>
  <c r="F82" i="32"/>
  <c r="C82" i="32"/>
  <c r="B82" i="32"/>
  <c r="E81" i="32"/>
  <c r="D81" i="32"/>
  <c r="E80" i="32"/>
  <c r="D80" i="32"/>
  <c r="I79" i="32"/>
  <c r="H79" i="32"/>
  <c r="G79" i="32"/>
  <c r="D79" i="32" s="1"/>
  <c r="F79" i="32"/>
  <c r="C79" i="32"/>
  <c r="B79" i="32"/>
  <c r="E78" i="32"/>
  <c r="D78" i="32"/>
  <c r="E77" i="32"/>
  <c r="D77" i="32"/>
  <c r="M76" i="32"/>
  <c r="E76" i="32"/>
  <c r="D76" i="32"/>
  <c r="L76" i="32" s="1"/>
  <c r="E75" i="32"/>
  <c r="D75" i="32"/>
  <c r="L75" i="32" s="1"/>
  <c r="E74" i="32"/>
  <c r="D74" i="32"/>
  <c r="L74" i="32" s="1"/>
  <c r="E73" i="32"/>
  <c r="D73" i="32"/>
  <c r="L73" i="32" s="1"/>
  <c r="I72" i="32"/>
  <c r="H72" i="32"/>
  <c r="G72" i="32"/>
  <c r="F72" i="32"/>
  <c r="D72" i="32"/>
  <c r="L72" i="32" s="1"/>
  <c r="B72" i="32"/>
  <c r="K71" i="32"/>
  <c r="J71" i="32"/>
  <c r="D71" i="32"/>
  <c r="L71" i="32" s="1"/>
  <c r="K70" i="32"/>
  <c r="J70" i="32"/>
  <c r="D70" i="32"/>
  <c r="L70" i="32" s="1"/>
  <c r="K69" i="32"/>
  <c r="J69" i="32"/>
  <c r="D69" i="32"/>
  <c r="L69" i="32" s="1"/>
  <c r="K68" i="32"/>
  <c r="D68" i="32"/>
  <c r="J68" i="32" s="1"/>
  <c r="E67" i="32"/>
  <c r="D67" i="32"/>
  <c r="L67" i="32" s="1"/>
  <c r="E66" i="32"/>
  <c r="D66" i="32"/>
  <c r="I65" i="32"/>
  <c r="H65" i="32"/>
  <c r="G65" i="32"/>
  <c r="F65" i="32"/>
  <c r="E65" i="32"/>
  <c r="E64" i="32"/>
  <c r="D64" i="32"/>
  <c r="L64" i="32" s="1"/>
  <c r="E63" i="32"/>
  <c r="D63" i="32"/>
  <c r="E62" i="32"/>
  <c r="D62" i="32"/>
  <c r="L62" i="32" s="1"/>
  <c r="E61" i="32"/>
  <c r="D61" i="32"/>
  <c r="L61" i="32" s="1"/>
  <c r="E60" i="32"/>
  <c r="D60" i="32"/>
  <c r="L60" i="32" s="1"/>
  <c r="I59" i="32"/>
  <c r="H59" i="32"/>
  <c r="G59" i="32"/>
  <c r="F59" i="32"/>
  <c r="B59" i="32"/>
  <c r="E58" i="32"/>
  <c r="K58" i="32" s="1"/>
  <c r="D58" i="32"/>
  <c r="J58" i="32" s="1"/>
  <c r="E57" i="32"/>
  <c r="D57" i="32"/>
  <c r="H56" i="32"/>
  <c r="D56" i="32" s="1"/>
  <c r="G56" i="32"/>
  <c r="E56" i="32" s="1"/>
  <c r="C56" i="32"/>
  <c r="E55" i="32"/>
  <c r="D55" i="32"/>
  <c r="E54" i="32"/>
  <c r="K54" i="32" s="1"/>
  <c r="D54" i="32"/>
  <c r="J54" i="32" s="1"/>
  <c r="E53" i="32"/>
  <c r="K53" i="32" s="1"/>
  <c r="D53" i="32"/>
  <c r="J53" i="32" s="1"/>
  <c r="I52" i="32"/>
  <c r="E52" i="32" s="1"/>
  <c r="E51" i="32"/>
  <c r="E50" i="32" s="1"/>
  <c r="K50" i="32" s="1"/>
  <c r="D51" i="32"/>
  <c r="L51" i="32" s="1"/>
  <c r="H50" i="32"/>
  <c r="G50" i="32"/>
  <c r="F50" i="32"/>
  <c r="B50" i="32"/>
  <c r="E49" i="32"/>
  <c r="K49" i="32" s="1"/>
  <c r="D49" i="32"/>
  <c r="J49" i="32" s="1"/>
  <c r="E48" i="32"/>
  <c r="K48" i="32" s="1"/>
  <c r="D48" i="32"/>
  <c r="L48" i="32" s="1"/>
  <c r="E47" i="32"/>
  <c r="K47" i="32" s="1"/>
  <c r="D47" i="32"/>
  <c r="J47" i="32" s="1"/>
  <c r="N46" i="32"/>
  <c r="E46" i="32"/>
  <c r="K46" i="32" s="1"/>
  <c r="D46" i="32"/>
  <c r="L46" i="32" s="1"/>
  <c r="E45" i="32"/>
  <c r="K45" i="32" s="1"/>
  <c r="D45" i="32"/>
  <c r="J45" i="32" s="1"/>
  <c r="H44" i="32"/>
  <c r="E44" i="32" s="1"/>
  <c r="K44" i="32" s="1"/>
  <c r="E43" i="32"/>
  <c r="D43" i="32"/>
  <c r="L43" i="32" s="1"/>
  <c r="E42" i="32"/>
  <c r="K42" i="32" s="1"/>
  <c r="D42" i="32"/>
  <c r="J42" i="32" s="1"/>
  <c r="E41" i="32"/>
  <c r="K41" i="32" s="1"/>
  <c r="D41" i="32"/>
  <c r="L41" i="32" s="1"/>
  <c r="E40" i="32"/>
  <c r="K40" i="32" s="1"/>
  <c r="D40" i="32"/>
  <c r="L40" i="32" s="1"/>
  <c r="E39" i="32"/>
  <c r="K39" i="32" s="1"/>
  <c r="D39" i="32"/>
  <c r="L39" i="32" s="1"/>
  <c r="I38" i="32"/>
  <c r="G38" i="32"/>
  <c r="F38" i="32"/>
  <c r="C38" i="32"/>
  <c r="B38" i="32"/>
  <c r="E37" i="32"/>
  <c r="D37" i="32"/>
  <c r="L37" i="32" s="1"/>
  <c r="E36" i="32"/>
  <c r="D36" i="32"/>
  <c r="K35" i="32"/>
  <c r="E35" i="32"/>
  <c r="D35" i="32"/>
  <c r="L35" i="32" s="1"/>
  <c r="E34" i="32"/>
  <c r="E31" i="32" s="1"/>
  <c r="D34" i="32"/>
  <c r="L34" i="32" s="1"/>
  <c r="K33" i="32"/>
  <c r="E33" i="32"/>
  <c r="D33" i="32"/>
  <c r="L33" i="32" s="1"/>
  <c r="K32" i="32"/>
  <c r="E32" i="32"/>
  <c r="D32" i="32"/>
  <c r="L32" i="32" s="1"/>
  <c r="O31" i="32"/>
  <c r="O32" i="32" s="1"/>
  <c r="I31" i="32"/>
  <c r="H31" i="32"/>
  <c r="G31" i="32"/>
  <c r="F31" i="32"/>
  <c r="C31" i="32"/>
  <c r="B31" i="32"/>
  <c r="L30" i="32"/>
  <c r="E30" i="32"/>
  <c r="K30" i="32" s="1"/>
  <c r="D30" i="32"/>
  <c r="J30" i="32" s="1"/>
  <c r="O29" i="32"/>
  <c r="E29" i="32"/>
  <c r="D29" i="32"/>
  <c r="L29" i="32" s="1"/>
  <c r="E28" i="32"/>
  <c r="D28" i="32"/>
  <c r="L28" i="32" s="1"/>
  <c r="E27" i="32"/>
  <c r="K27" i="32" s="1"/>
  <c r="D27" i="32"/>
  <c r="L27" i="32" s="1"/>
  <c r="N26" i="32"/>
  <c r="E26" i="32"/>
  <c r="D26" i="32"/>
  <c r="N25" i="32"/>
  <c r="E25" i="32"/>
  <c r="K25" i="32" s="1"/>
  <c r="D25" i="32"/>
  <c r="L25" i="32" s="1"/>
  <c r="E24" i="32"/>
  <c r="K24" i="32" s="1"/>
  <c r="D24" i="32"/>
  <c r="L24" i="32" s="1"/>
  <c r="N23" i="32"/>
  <c r="E23" i="32"/>
  <c r="K23" i="32" s="1"/>
  <c r="D23" i="32"/>
  <c r="L23" i="32" s="1"/>
  <c r="I22" i="32"/>
  <c r="H22" i="32"/>
  <c r="G22" i="32"/>
  <c r="F22" i="32"/>
  <c r="C22" i="32"/>
  <c r="B22" i="32"/>
  <c r="O21" i="32"/>
  <c r="O22" i="32" s="1"/>
  <c r="M21" i="32"/>
  <c r="E21" i="32"/>
  <c r="D21" i="32"/>
  <c r="L21" i="32" s="1"/>
  <c r="C21" i="32"/>
  <c r="E20" i="32"/>
  <c r="D20" i="32"/>
  <c r="E19" i="32"/>
  <c r="D19" i="32"/>
  <c r="L19" i="32" s="1"/>
  <c r="E18" i="32"/>
  <c r="K18" i="32" s="1"/>
  <c r="D18" i="32"/>
  <c r="J18" i="32" s="1"/>
  <c r="C18" i="32"/>
  <c r="N17" i="32"/>
  <c r="E17" i="32"/>
  <c r="D17" i="32"/>
  <c r="M16" i="32"/>
  <c r="E16" i="32"/>
  <c r="K16" i="32" s="1"/>
  <c r="D16" i="32"/>
  <c r="L16" i="32" s="1"/>
  <c r="C16" i="32"/>
  <c r="E15" i="32"/>
  <c r="D15" i="32"/>
  <c r="E14" i="32"/>
  <c r="D14" i="32"/>
  <c r="C14" i="32"/>
  <c r="C13" i="32" s="1"/>
  <c r="C12" i="32" s="1"/>
  <c r="C11" i="32" s="1"/>
  <c r="I13" i="32"/>
  <c r="H13" i="32"/>
  <c r="G13" i="32"/>
  <c r="F13" i="32"/>
  <c r="F12" i="32" s="1"/>
  <c r="F11" i="32" s="1"/>
  <c r="B13" i="32"/>
  <c r="O2" i="32"/>
  <c r="O7" i="32" s="1"/>
  <c r="N15" i="32" l="1"/>
  <c r="M15" i="32"/>
  <c r="M17" i="32" s="1"/>
  <c r="D22" i="32"/>
  <c r="L22" i="32" s="1"/>
  <c r="H38" i="32"/>
  <c r="D38" i="32" s="1"/>
  <c r="I50" i="32"/>
  <c r="I12" i="32" s="1"/>
  <c r="I11" i="32" s="1"/>
  <c r="D52" i="32"/>
  <c r="L52" i="32" s="1"/>
  <c r="K56" i="32"/>
  <c r="D65" i="32"/>
  <c r="L65" i="32" s="1"/>
  <c r="J72" i="32"/>
  <c r="D89" i="32"/>
  <c r="F93" i="32"/>
  <c r="D109" i="32"/>
  <c r="K109" i="32" s="1"/>
  <c r="B12" i="32"/>
  <c r="B11" i="32" s="1"/>
  <c r="H12" i="32"/>
  <c r="H11" i="32" s="1"/>
  <c r="E13" i="32"/>
  <c r="K21" i="32"/>
  <c r="E38" i="32"/>
  <c r="K38" i="32" s="1"/>
  <c r="D44" i="32"/>
  <c r="D59" i="32"/>
  <c r="E79" i="32"/>
  <c r="D86" i="32"/>
  <c r="M107" i="32"/>
  <c r="M73" i="32"/>
  <c r="D13" i="32"/>
  <c r="L13" i="32" s="1"/>
  <c r="E22" i="32"/>
  <c r="K22" i="32" s="1"/>
  <c r="D50" i="32"/>
  <c r="E72" i="32"/>
  <c r="K72" i="32" s="1"/>
  <c r="D82" i="32"/>
  <c r="L107" i="32"/>
  <c r="D31" i="32"/>
  <c r="G12" i="32"/>
  <c r="K31" i="32"/>
  <c r="B10" i="32"/>
  <c r="B122" i="32" s="1"/>
  <c r="N21" i="32"/>
  <c r="N27" i="32"/>
  <c r="C122" i="32"/>
  <c r="C10" i="32"/>
  <c r="K13" i="32"/>
  <c r="L59" i="32"/>
  <c r="J59" i="32"/>
  <c r="J13" i="32"/>
  <c r="K14" i="32"/>
  <c r="J16" i="32"/>
  <c r="J25" i="32"/>
  <c r="J39" i="32"/>
  <c r="J40" i="32"/>
  <c r="F115" i="32"/>
  <c r="D118" i="32"/>
  <c r="L118" i="32" s="1"/>
  <c r="G117" i="32"/>
  <c r="G115" i="32" s="1"/>
  <c r="J14" i="32"/>
  <c r="L14" i="32"/>
  <c r="J21" i="32"/>
  <c r="J23" i="32"/>
  <c r="J24" i="32"/>
  <c r="J27" i="32"/>
  <c r="J31" i="32"/>
  <c r="L50" i="32"/>
  <c r="J50" i="32"/>
  <c r="M50" i="32"/>
  <c r="J56" i="32"/>
  <c r="E59" i="32"/>
  <c r="K59" i="32" s="1"/>
  <c r="L66" i="32"/>
  <c r="G85" i="32"/>
  <c r="D105" i="32"/>
  <c r="L109" i="32"/>
  <c r="J32" i="32"/>
  <c r="J33" i="32"/>
  <c r="J35" i="32"/>
  <c r="J41" i="32"/>
  <c r="J46" i="32"/>
  <c r="J48" i="32"/>
  <c r="G14" i="2"/>
  <c r="G13" i="2"/>
  <c r="F13" i="2"/>
  <c r="F14" i="2"/>
  <c r="I10" i="32" l="1"/>
  <c r="N9" i="32" s="1"/>
  <c r="I122" i="32"/>
  <c r="M39" i="32"/>
  <c r="L38" i="32"/>
  <c r="J38" i="32"/>
  <c r="D12" i="32"/>
  <c r="M12" i="32" s="1"/>
  <c r="L44" i="32"/>
  <c r="J44" i="32"/>
  <c r="F92" i="32"/>
  <c r="D93" i="32"/>
  <c r="L31" i="32"/>
  <c r="J22" i="32"/>
  <c r="O27" i="32"/>
  <c r="L12" i="32"/>
  <c r="L11" i="32"/>
  <c r="O12" i="32"/>
  <c r="O15" i="32" s="1"/>
  <c r="O11" i="32" s="1"/>
  <c r="J12" i="32"/>
  <c r="D11" i="32"/>
  <c r="N19" i="32"/>
  <c r="G11" i="32"/>
  <c r="G10" i="32" s="1"/>
  <c r="O13" i="32"/>
  <c r="O17" i="32" s="1"/>
  <c r="D85" i="32"/>
  <c r="E85" i="32"/>
  <c r="D115" i="32"/>
  <c r="E12" i="32"/>
  <c r="H122" i="32"/>
  <c r="H10" i="32"/>
  <c r="H138" i="32" s="1"/>
  <c r="F122" i="32"/>
  <c r="K105" i="32"/>
  <c r="L105" i="32"/>
  <c r="D117" i="32"/>
  <c r="L117" i="32" s="1"/>
  <c r="J11" i="32"/>
  <c r="O18" i="32"/>
  <c r="P16" i="32"/>
  <c r="S31" i="30"/>
  <c r="S32" i="30"/>
  <c r="S33" i="30"/>
  <c r="S34" i="30"/>
  <c r="S35" i="30"/>
  <c r="S36" i="30"/>
  <c r="S37" i="30"/>
  <c r="S38" i="30"/>
  <c r="S53" i="30"/>
  <c r="S54" i="30"/>
  <c r="S55" i="30"/>
  <c r="S57" i="30"/>
  <c r="S58" i="30"/>
  <c r="S59" i="30"/>
  <c r="S61" i="30"/>
  <c r="S62" i="30"/>
  <c r="S63" i="30"/>
  <c r="S64" i="30"/>
  <c r="S65" i="30"/>
  <c r="S66" i="30"/>
  <c r="S67" i="30"/>
  <c r="S68" i="30"/>
  <c r="S69" i="30"/>
  <c r="S70" i="30"/>
  <c r="S72" i="30"/>
  <c r="S73" i="30"/>
  <c r="S74" i="30"/>
  <c r="S75" i="30"/>
  <c r="S76" i="30"/>
  <c r="S77" i="30"/>
  <c r="S78" i="30"/>
  <c r="S80" i="30"/>
  <c r="S83" i="30"/>
  <c r="G101" i="30"/>
  <c r="R31" i="30"/>
  <c r="R32" i="30"/>
  <c r="R33" i="30"/>
  <c r="R34" i="30"/>
  <c r="R35" i="30"/>
  <c r="R36" i="30"/>
  <c r="R37" i="30"/>
  <c r="R38" i="30"/>
  <c r="R40" i="30"/>
  <c r="R41" i="30"/>
  <c r="R43" i="30"/>
  <c r="R48" i="30"/>
  <c r="R51" i="30"/>
  <c r="R52" i="30"/>
  <c r="R53" i="30"/>
  <c r="R54" i="30"/>
  <c r="R55" i="30"/>
  <c r="R57" i="30"/>
  <c r="R58" i="30"/>
  <c r="R59" i="30"/>
  <c r="R61" i="30"/>
  <c r="R62" i="30"/>
  <c r="R63" i="30"/>
  <c r="R64" i="30"/>
  <c r="R65" i="30"/>
  <c r="R66" i="30"/>
  <c r="R67" i="30"/>
  <c r="R68" i="30"/>
  <c r="R69" i="30"/>
  <c r="R70" i="30"/>
  <c r="R72" i="30"/>
  <c r="R73" i="30"/>
  <c r="R74" i="30"/>
  <c r="R75" i="30"/>
  <c r="R76" i="30"/>
  <c r="R77" i="30"/>
  <c r="R78" i="30"/>
  <c r="R79" i="30"/>
  <c r="R80" i="30"/>
  <c r="R83" i="30"/>
  <c r="Q31" i="30"/>
  <c r="Q32" i="30"/>
  <c r="Q53" i="30"/>
  <c r="Q54" i="30"/>
  <c r="Q80" i="30"/>
  <c r="Q83" i="30"/>
  <c r="E12" i="30"/>
  <c r="F39" i="30"/>
  <c r="F12" i="30" s="1"/>
  <c r="F11" i="30" s="1"/>
  <c r="V7" i="30" s="1"/>
  <c r="E39" i="30"/>
  <c r="E84" i="30"/>
  <c r="D84" i="30"/>
  <c r="G79" i="30"/>
  <c r="Q79" i="30" s="1"/>
  <c r="G29" i="30"/>
  <c r="G28" i="30"/>
  <c r="G27" i="30"/>
  <c r="G26" i="30"/>
  <c r="G22" i="30"/>
  <c r="G21" i="30"/>
  <c r="G18" i="30"/>
  <c r="G16" i="30"/>
  <c r="G15" i="30"/>
  <c r="K81" i="30"/>
  <c r="G81" i="30" s="1"/>
  <c r="H98" i="30"/>
  <c r="K52" i="30"/>
  <c r="S52" i="30" s="1"/>
  <c r="K48" i="30"/>
  <c r="S48" i="30" s="1"/>
  <c r="K47" i="30"/>
  <c r="S47" i="30" s="1"/>
  <c r="K46" i="30"/>
  <c r="S46" i="30" s="1"/>
  <c r="K45" i="30"/>
  <c r="S45" i="30" s="1"/>
  <c r="K43" i="30"/>
  <c r="S43" i="30" s="1"/>
  <c r="K41" i="30"/>
  <c r="G41" i="30" s="1"/>
  <c r="Q41" i="30" s="1"/>
  <c r="K40" i="30"/>
  <c r="S40" i="30" s="1"/>
  <c r="K17" i="30"/>
  <c r="H109" i="30"/>
  <c r="G108" i="30"/>
  <c r="W100" i="30"/>
  <c r="G99" i="30"/>
  <c r="N98" i="30"/>
  <c r="N96" i="30" s="1"/>
  <c r="K98" i="30"/>
  <c r="K96" i="30" s="1"/>
  <c r="D98" i="30"/>
  <c r="D96" i="30" s="1"/>
  <c r="C98" i="30"/>
  <c r="C96" i="30" s="1"/>
  <c r="G97" i="30"/>
  <c r="T97" i="30" s="1"/>
  <c r="O96" i="30"/>
  <c r="M96" i="30"/>
  <c r="M102" i="30" s="1"/>
  <c r="L96" i="30"/>
  <c r="L102" i="30" s="1"/>
  <c r="J96" i="30"/>
  <c r="J102" i="30" s="1"/>
  <c r="I96" i="30"/>
  <c r="I102" i="30" s="1"/>
  <c r="J95" i="30"/>
  <c r="H95" i="30" s="1"/>
  <c r="G95" i="30" s="1"/>
  <c r="N94" i="30"/>
  <c r="K94" i="30"/>
  <c r="I94" i="30"/>
  <c r="N93" i="30"/>
  <c r="K93" i="30"/>
  <c r="H93" i="30"/>
  <c r="N92" i="30"/>
  <c r="K92" i="30"/>
  <c r="H92" i="30"/>
  <c r="N91" i="30"/>
  <c r="K91" i="30"/>
  <c r="H91" i="30"/>
  <c r="G91" i="30" s="1"/>
  <c r="N90" i="30"/>
  <c r="K90" i="30"/>
  <c r="H90" i="30"/>
  <c r="N89" i="30"/>
  <c r="K89" i="30" s="1"/>
  <c r="H89" i="30"/>
  <c r="N88" i="30"/>
  <c r="K88" i="30" s="1"/>
  <c r="G88" i="30" s="1"/>
  <c r="H88" i="30"/>
  <c r="N87" i="30"/>
  <c r="H87" i="30"/>
  <c r="N86" i="30"/>
  <c r="K86" i="30" s="1"/>
  <c r="G86" i="30" s="1"/>
  <c r="H86" i="30"/>
  <c r="P85" i="30"/>
  <c r="P84" i="30" s="1"/>
  <c r="O85" i="30"/>
  <c r="O84" i="30" s="1"/>
  <c r="M85" i="30"/>
  <c r="L85" i="30"/>
  <c r="L84" i="30" s="1"/>
  <c r="J85" i="30"/>
  <c r="I85" i="30"/>
  <c r="I84" i="30" s="1"/>
  <c r="I11" i="30" s="1"/>
  <c r="C85" i="30"/>
  <c r="M84" i="30"/>
  <c r="C84" i="30"/>
  <c r="C12" i="30" s="1"/>
  <c r="C102" i="30" s="1"/>
  <c r="T83" i="30"/>
  <c r="T82" i="30"/>
  <c r="G78" i="30"/>
  <c r="Q78" i="30" s="1"/>
  <c r="G77" i="30"/>
  <c r="Q77" i="30" s="1"/>
  <c r="G76" i="30"/>
  <c r="Q76" i="30" s="1"/>
  <c r="G75" i="30"/>
  <c r="Q75" i="30" s="1"/>
  <c r="G74" i="30"/>
  <c r="Q74" i="30" s="1"/>
  <c r="G73" i="30"/>
  <c r="Q73" i="30" s="1"/>
  <c r="G72" i="30"/>
  <c r="Q72" i="30" s="1"/>
  <c r="O71" i="30"/>
  <c r="N71" i="30"/>
  <c r="L71" i="30"/>
  <c r="K71" i="30"/>
  <c r="S71" i="30" s="1"/>
  <c r="J71" i="30"/>
  <c r="I71" i="30"/>
  <c r="H71" i="30"/>
  <c r="R71" i="30" s="1"/>
  <c r="G70" i="30"/>
  <c r="Q70" i="30" s="1"/>
  <c r="G69" i="30"/>
  <c r="Q69" i="30" s="1"/>
  <c r="G68" i="30"/>
  <c r="Q68" i="30" s="1"/>
  <c r="G67" i="30"/>
  <c r="Q67" i="30" s="1"/>
  <c r="G66" i="30"/>
  <c r="Q66" i="30" s="1"/>
  <c r="G65" i="30"/>
  <c r="Q65" i="30" s="1"/>
  <c r="G64" i="30"/>
  <c r="Q64" i="30" s="1"/>
  <c r="G63" i="30"/>
  <c r="Q63" i="30" s="1"/>
  <c r="G62" i="30"/>
  <c r="Q62" i="30" s="1"/>
  <c r="G61" i="30"/>
  <c r="Q61" i="30" s="1"/>
  <c r="O60" i="30"/>
  <c r="N60" i="30"/>
  <c r="M60" i="30"/>
  <c r="L60" i="30"/>
  <c r="K60" i="30"/>
  <c r="S60" i="30" s="1"/>
  <c r="J60" i="30"/>
  <c r="I60" i="30"/>
  <c r="H60" i="30"/>
  <c r="G59" i="30"/>
  <c r="Q59" i="30" s="1"/>
  <c r="G58" i="30"/>
  <c r="Q58" i="30" s="1"/>
  <c r="G57" i="30"/>
  <c r="P56" i="30"/>
  <c r="O56" i="30"/>
  <c r="N56" i="30"/>
  <c r="M56" i="30"/>
  <c r="L56" i="30"/>
  <c r="K56" i="30"/>
  <c r="S56" i="30" s="1"/>
  <c r="J56" i="30"/>
  <c r="I56" i="30"/>
  <c r="H56" i="30"/>
  <c r="R56" i="30" s="1"/>
  <c r="G55" i="30"/>
  <c r="Q55" i="30" s="1"/>
  <c r="U51" i="30"/>
  <c r="N51" i="30"/>
  <c r="K51" i="30" s="1"/>
  <c r="S51" i="30" s="1"/>
  <c r="O50" i="30"/>
  <c r="N50" i="30" s="1"/>
  <c r="K50" i="30" s="1"/>
  <c r="S50" i="30" s="1"/>
  <c r="I50" i="30"/>
  <c r="H50" i="30"/>
  <c r="R50" i="30" s="1"/>
  <c r="O49" i="30"/>
  <c r="N49" i="30" s="1"/>
  <c r="N39" i="30" s="1"/>
  <c r="L49" i="30"/>
  <c r="I49" i="30"/>
  <c r="H49" i="30" s="1"/>
  <c r="H47" i="30"/>
  <c r="R47" i="30" s="1"/>
  <c r="H46" i="30"/>
  <c r="R46" i="30" s="1"/>
  <c r="I45" i="30"/>
  <c r="H45" i="30" s="1"/>
  <c r="G45" i="30" s="1"/>
  <c r="Q45" i="30" s="1"/>
  <c r="L44" i="30"/>
  <c r="K44" i="30" s="1"/>
  <c r="S44" i="30" s="1"/>
  <c r="H44" i="30"/>
  <c r="R44" i="30" s="1"/>
  <c r="L42" i="30"/>
  <c r="K42" i="30" s="1"/>
  <c r="S42" i="30" s="1"/>
  <c r="I42" i="30"/>
  <c r="H42" i="30" s="1"/>
  <c r="P39" i="30"/>
  <c r="M39" i="30"/>
  <c r="J39" i="30"/>
  <c r="D39" i="30"/>
  <c r="D12" i="30" s="1"/>
  <c r="G38" i="30"/>
  <c r="Q38" i="30" s="1"/>
  <c r="G37" i="30"/>
  <c r="Q37" i="30" s="1"/>
  <c r="G36" i="30"/>
  <c r="Q36" i="30" s="1"/>
  <c r="G35" i="30"/>
  <c r="T35" i="30" s="1"/>
  <c r="G34" i="30"/>
  <c r="Q34" i="30" s="1"/>
  <c r="L33" i="30"/>
  <c r="G33" i="30"/>
  <c r="Q33" i="30" s="1"/>
  <c r="H30" i="30"/>
  <c r="R30" i="30" s="1"/>
  <c r="V27" i="30"/>
  <c r="N25" i="30"/>
  <c r="K25" i="30" s="1"/>
  <c r="G25" i="30" s="1"/>
  <c r="J25" i="30"/>
  <c r="H25" i="30" s="1"/>
  <c r="P24" i="30"/>
  <c r="N24" i="30" s="1"/>
  <c r="M24" i="30"/>
  <c r="J24" i="30"/>
  <c r="H24" i="30" s="1"/>
  <c r="J23" i="30"/>
  <c r="H23" i="30"/>
  <c r="G23" i="30" s="1"/>
  <c r="N20" i="30"/>
  <c r="M20" i="30"/>
  <c r="K20" i="30" s="1"/>
  <c r="J19" i="30"/>
  <c r="H19" i="30" s="1"/>
  <c r="G19" i="30" s="1"/>
  <c r="H17" i="30"/>
  <c r="G17" i="30" s="1"/>
  <c r="O14" i="30"/>
  <c r="J14" i="30"/>
  <c r="C34" i="3"/>
  <c r="K24" i="30" l="1"/>
  <c r="D11" i="30"/>
  <c r="V13" i="30" s="1"/>
  <c r="K49" i="30"/>
  <c r="S49" i="30" s="1"/>
  <c r="N85" i="30"/>
  <c r="N84" i="30" s="1"/>
  <c r="G92" i="30"/>
  <c r="D122" i="32"/>
  <c r="O10" i="32"/>
  <c r="G20" i="30"/>
  <c r="G56" i="30"/>
  <c r="Q56" i="30" s="1"/>
  <c r="G93" i="30"/>
  <c r="D92" i="32"/>
  <c r="D10" i="32" s="1"/>
  <c r="F10" i="32"/>
  <c r="G122" i="32"/>
  <c r="K122" i="32" s="1"/>
  <c r="L115" i="32"/>
  <c r="M115" i="32"/>
  <c r="K12" i="32"/>
  <c r="E11" i="32"/>
  <c r="G130" i="32"/>
  <c r="G136" i="32"/>
  <c r="G138" i="32" s="1"/>
  <c r="G140" i="32" s="1"/>
  <c r="N7" i="32"/>
  <c r="P2" i="32"/>
  <c r="G49" i="30"/>
  <c r="Q49" i="30" s="1"/>
  <c r="R49" i="30"/>
  <c r="R42" i="30"/>
  <c r="G42" i="30"/>
  <c r="Q42" i="30" s="1"/>
  <c r="G89" i="30"/>
  <c r="M14" i="30"/>
  <c r="O39" i="30"/>
  <c r="G71" i="30"/>
  <c r="Q71" i="30" s="1"/>
  <c r="G30" i="30"/>
  <c r="Q30" i="30" s="1"/>
  <c r="G46" i="30"/>
  <c r="Q46" i="30" s="1"/>
  <c r="G50" i="30"/>
  <c r="Q50" i="30" s="1"/>
  <c r="I39" i="30"/>
  <c r="K87" i="30"/>
  <c r="K85" i="30" s="1"/>
  <c r="K84" i="30" s="1"/>
  <c r="G43" i="30"/>
  <c r="Q43" i="30" s="1"/>
  <c r="G47" i="30"/>
  <c r="Q47" i="30" s="1"/>
  <c r="G51" i="30"/>
  <c r="Q51" i="30" s="1"/>
  <c r="Q57" i="30"/>
  <c r="R45" i="30"/>
  <c r="S41" i="30"/>
  <c r="G60" i="30"/>
  <c r="Q60" i="30" s="1"/>
  <c r="G40" i="30"/>
  <c r="Q40" i="30" s="1"/>
  <c r="G44" i="30"/>
  <c r="Q44" i="30" s="1"/>
  <c r="G48" i="30"/>
  <c r="Q48" i="30" s="1"/>
  <c r="G52" i="30"/>
  <c r="Q52" i="30" s="1"/>
  <c r="E11" i="30"/>
  <c r="V11" i="30" s="1"/>
  <c r="R60" i="30"/>
  <c r="G24" i="30"/>
  <c r="G90" i="30"/>
  <c r="Q35" i="30"/>
  <c r="K14" i="30"/>
  <c r="D102" i="30"/>
  <c r="D112" i="30" s="1"/>
  <c r="T76" i="30"/>
  <c r="T75" i="30"/>
  <c r="T77" i="30"/>
  <c r="H85" i="30"/>
  <c r="R85" i="30" s="1"/>
  <c r="G98" i="30"/>
  <c r="H96" i="30"/>
  <c r="V100" i="30"/>
  <c r="N14" i="30"/>
  <c r="N13" i="30" s="1"/>
  <c r="N12" i="30" s="1"/>
  <c r="N102" i="30" s="1"/>
  <c r="U8" i="30"/>
  <c r="U41" i="30"/>
  <c r="H14" i="30"/>
  <c r="P14" i="30"/>
  <c r="U28" i="30"/>
  <c r="U29" i="30"/>
  <c r="U30" i="30" s="1"/>
  <c r="H39" i="30"/>
  <c r="K39" i="30"/>
  <c r="S39" i="30" s="1"/>
  <c r="L39" i="30"/>
  <c r="T86" i="30"/>
  <c r="J94" i="30"/>
  <c r="H94" i="30" s="1"/>
  <c r="G96" i="30"/>
  <c r="T96" i="30" s="1"/>
  <c r="J10" i="32" l="1"/>
  <c r="M4" i="32"/>
  <c r="M136" i="32"/>
  <c r="M137" i="32" s="1"/>
  <c r="D129" i="32"/>
  <c r="G132" i="32" s="1"/>
  <c r="G133" i="32" s="1"/>
  <c r="H134" i="32" s="1"/>
  <c r="N10" i="32"/>
  <c r="J84" i="30"/>
  <c r="U84" i="30" s="1"/>
  <c r="U39" i="30"/>
  <c r="G87" i="30"/>
  <c r="G85" i="30" s="1"/>
  <c r="Q85" i="30" s="1"/>
  <c r="K11" i="32"/>
  <c r="E10" i="32"/>
  <c r="K10" i="32" s="1"/>
  <c r="G94" i="30"/>
  <c r="Q94" i="30" s="1"/>
  <c r="R94" i="30"/>
  <c r="R39" i="30"/>
  <c r="G39" i="30"/>
  <c r="Q39" i="30" s="1"/>
  <c r="G14" i="30"/>
  <c r="K13" i="30"/>
  <c r="S13" i="30" s="1"/>
  <c r="H84" i="30"/>
  <c r="V102" i="30"/>
  <c r="N108" i="30"/>
  <c r="U94" i="30"/>
  <c r="U20" i="30"/>
  <c r="U22" i="30" s="1"/>
  <c r="U10" i="30"/>
  <c r="H13" i="30"/>
  <c r="U16" i="30"/>
  <c r="E82" i="28"/>
  <c r="E81" i="28"/>
  <c r="F99" i="28"/>
  <c r="F110" i="28"/>
  <c r="E109" i="28"/>
  <c r="E102" i="28"/>
  <c r="T101" i="28"/>
  <c r="S101" i="28"/>
  <c r="E100" i="28"/>
  <c r="L99" i="28"/>
  <c r="L97" i="28" s="1"/>
  <c r="I99" i="28"/>
  <c r="D99" i="28"/>
  <c r="C99" i="28"/>
  <c r="C97" i="28" s="1"/>
  <c r="E98" i="28"/>
  <c r="Q98" i="28" s="1"/>
  <c r="M97" i="28"/>
  <c r="K97" i="28"/>
  <c r="K103" i="28" s="1"/>
  <c r="J97" i="28"/>
  <c r="J103" i="28" s="1"/>
  <c r="H97" i="28"/>
  <c r="H103" i="28" s="1"/>
  <c r="G97" i="28"/>
  <c r="G103" i="28" s="1"/>
  <c r="D97" i="28"/>
  <c r="H96" i="28"/>
  <c r="F96" i="28" s="1"/>
  <c r="E96" i="28" s="1"/>
  <c r="L95" i="28"/>
  <c r="I95" i="28"/>
  <c r="H95" i="28"/>
  <c r="G95" i="28"/>
  <c r="L94" i="28"/>
  <c r="I94" i="28"/>
  <c r="F94" i="28"/>
  <c r="L93" i="28"/>
  <c r="I93" i="28"/>
  <c r="F93" i="28"/>
  <c r="L92" i="28"/>
  <c r="I92" i="28"/>
  <c r="F92" i="28"/>
  <c r="L91" i="28"/>
  <c r="I91" i="28"/>
  <c r="F91" i="28"/>
  <c r="L90" i="28"/>
  <c r="I90" i="28"/>
  <c r="F90" i="28"/>
  <c r="L89" i="28"/>
  <c r="I89" i="28"/>
  <c r="F89" i="28"/>
  <c r="L88" i="28"/>
  <c r="I88" i="28"/>
  <c r="F88" i="28"/>
  <c r="L87" i="28"/>
  <c r="I87" i="28"/>
  <c r="F87" i="28"/>
  <c r="N86" i="28"/>
  <c r="N85" i="28" s="1"/>
  <c r="M86" i="28"/>
  <c r="K86" i="28"/>
  <c r="K85" i="28" s="1"/>
  <c r="K10" i="28" s="1"/>
  <c r="J86" i="28"/>
  <c r="J85" i="28" s="1"/>
  <c r="J10" i="28" s="1"/>
  <c r="H86" i="28"/>
  <c r="G86" i="28"/>
  <c r="C86" i="28"/>
  <c r="C85" i="28" s="1"/>
  <c r="C11" i="28" s="1"/>
  <c r="M85" i="28"/>
  <c r="G85" i="28"/>
  <c r="G10" i="28" s="1"/>
  <c r="D85" i="28"/>
  <c r="Q84" i="28"/>
  <c r="Q83" i="28"/>
  <c r="P80" i="28"/>
  <c r="O80" i="28"/>
  <c r="E79" i="28"/>
  <c r="P79" i="28" s="1"/>
  <c r="E78" i="28"/>
  <c r="O78" i="28" s="1"/>
  <c r="E77" i="28"/>
  <c r="O77" i="28" s="1"/>
  <c r="E76" i="28"/>
  <c r="O76" i="28" s="1"/>
  <c r="E75" i="28"/>
  <c r="O75" i="28" s="1"/>
  <c r="E74" i="28"/>
  <c r="P74" i="28" s="1"/>
  <c r="E73" i="28"/>
  <c r="P73" i="28" s="1"/>
  <c r="E72" i="28"/>
  <c r="P72" i="28" s="1"/>
  <c r="M71" i="28"/>
  <c r="L71" i="28"/>
  <c r="J71" i="28"/>
  <c r="I71" i="28"/>
  <c r="H71" i="28"/>
  <c r="G71" i="28"/>
  <c r="F71" i="28"/>
  <c r="E70" i="28"/>
  <c r="P70" i="28" s="1"/>
  <c r="E69" i="28"/>
  <c r="P69" i="28" s="1"/>
  <c r="E68" i="28"/>
  <c r="P68" i="28" s="1"/>
  <c r="E67" i="28"/>
  <c r="P67" i="28" s="1"/>
  <c r="E66" i="28"/>
  <c r="P66" i="28" s="1"/>
  <c r="E65" i="28"/>
  <c r="P65" i="28" s="1"/>
  <c r="E64" i="28"/>
  <c r="O64" i="28" s="1"/>
  <c r="E63" i="28"/>
  <c r="P63" i="28" s="1"/>
  <c r="E62" i="28"/>
  <c r="P62" i="28" s="1"/>
  <c r="E61" i="28"/>
  <c r="P61" i="28" s="1"/>
  <c r="M60" i="28"/>
  <c r="L60" i="28"/>
  <c r="K60" i="28"/>
  <c r="J60" i="28"/>
  <c r="I60" i="28"/>
  <c r="H60" i="28"/>
  <c r="G60" i="28"/>
  <c r="F60" i="28"/>
  <c r="P59" i="28"/>
  <c r="E59" i="28"/>
  <c r="O59" i="28" s="1"/>
  <c r="E58" i="28"/>
  <c r="P58" i="28" s="1"/>
  <c r="E57" i="28"/>
  <c r="P57" i="28" s="1"/>
  <c r="N56" i="28"/>
  <c r="M56" i="28"/>
  <c r="L56" i="28"/>
  <c r="K56" i="28"/>
  <c r="J56" i="28"/>
  <c r="I56" i="28"/>
  <c r="H56" i="28"/>
  <c r="G56" i="28"/>
  <c r="F56" i="28"/>
  <c r="E55" i="28"/>
  <c r="P55" i="28" s="1"/>
  <c r="P54" i="28"/>
  <c r="O54" i="28"/>
  <c r="P53" i="28"/>
  <c r="O53" i="28"/>
  <c r="I52" i="28"/>
  <c r="E52" i="28" s="1"/>
  <c r="P52" i="28" s="1"/>
  <c r="R51" i="28"/>
  <c r="L51" i="28"/>
  <c r="E51" i="28" s="1"/>
  <c r="P51" i="28" s="1"/>
  <c r="M50" i="28"/>
  <c r="L50" i="28" s="1"/>
  <c r="I50" i="28"/>
  <c r="G50" i="28"/>
  <c r="F50" i="28"/>
  <c r="M49" i="28"/>
  <c r="L49" i="28" s="1"/>
  <c r="J49" i="28"/>
  <c r="I49" i="28" s="1"/>
  <c r="G49" i="28"/>
  <c r="F49" i="28"/>
  <c r="E48" i="28"/>
  <c r="P48" i="28" s="1"/>
  <c r="F47" i="28"/>
  <c r="E47" i="28" s="1"/>
  <c r="P47" i="28" s="1"/>
  <c r="F46" i="28"/>
  <c r="E46" i="28" s="1"/>
  <c r="P46" i="28" s="1"/>
  <c r="G45" i="28"/>
  <c r="F45" i="28" s="1"/>
  <c r="E45" i="28" s="1"/>
  <c r="P45" i="28" s="1"/>
  <c r="J44" i="28"/>
  <c r="I44" i="28" s="1"/>
  <c r="F44" i="28"/>
  <c r="E43" i="28"/>
  <c r="O43" i="28" s="1"/>
  <c r="J42" i="28"/>
  <c r="I42" i="28" s="1"/>
  <c r="G42" i="28"/>
  <c r="F42" i="28"/>
  <c r="E40" i="28"/>
  <c r="P40" i="28" s="1"/>
  <c r="E39" i="28"/>
  <c r="P39" i="28" s="1"/>
  <c r="N38" i="28"/>
  <c r="K38" i="28"/>
  <c r="H38" i="28"/>
  <c r="D38" i="28"/>
  <c r="D11" i="28" s="1"/>
  <c r="D10" i="28" s="1"/>
  <c r="E37" i="28"/>
  <c r="P37" i="28" s="1"/>
  <c r="E36" i="28"/>
  <c r="O36" i="28" s="1"/>
  <c r="E35" i="28"/>
  <c r="O35" i="28" s="1"/>
  <c r="E34" i="28"/>
  <c r="Q34" i="28" s="1"/>
  <c r="E33" i="28"/>
  <c r="P33" i="28" s="1"/>
  <c r="J32" i="28"/>
  <c r="E32" i="28"/>
  <c r="P32" i="28" s="1"/>
  <c r="P31" i="28"/>
  <c r="O31" i="28"/>
  <c r="P30" i="28"/>
  <c r="O30" i="28"/>
  <c r="F29" i="28"/>
  <c r="E29" i="28" s="1"/>
  <c r="E28" i="28"/>
  <c r="E27" i="28"/>
  <c r="E26" i="28"/>
  <c r="E25" i="28"/>
  <c r="L24" i="28"/>
  <c r="H24" i="28"/>
  <c r="F24" i="28"/>
  <c r="N23" i="28"/>
  <c r="L23" i="28" s="1"/>
  <c r="K23" i="28"/>
  <c r="I23" i="28" s="1"/>
  <c r="H23" i="28"/>
  <c r="F23" i="28" s="1"/>
  <c r="H22" i="28"/>
  <c r="F22" i="28" s="1"/>
  <c r="E22" i="28" s="1"/>
  <c r="E21" i="28"/>
  <c r="E20" i="28"/>
  <c r="L19" i="28"/>
  <c r="K19" i="28"/>
  <c r="I19" i="28" s="1"/>
  <c r="E19" i="28" s="1"/>
  <c r="H18" i="28"/>
  <c r="F18" i="28" s="1"/>
  <c r="E17" i="28"/>
  <c r="I16" i="28"/>
  <c r="F16" i="28"/>
  <c r="E16" i="28" s="1"/>
  <c r="E15" i="28"/>
  <c r="E14" i="28"/>
  <c r="M13" i="28"/>
  <c r="H13" i="28"/>
  <c r="K68" i="27"/>
  <c r="K69" i="27"/>
  <c r="K70" i="27"/>
  <c r="K71" i="27"/>
  <c r="E98" i="27"/>
  <c r="E97" i="27"/>
  <c r="P35" i="28" l="1"/>
  <c r="E91" i="28"/>
  <c r="J11" i="30"/>
  <c r="E94" i="28"/>
  <c r="L86" i="28"/>
  <c r="L85" i="28" s="1"/>
  <c r="T94" i="30"/>
  <c r="G84" i="30"/>
  <c r="Q84" i="30" s="1"/>
  <c r="R84" i="30"/>
  <c r="R13" i="30"/>
  <c r="H12" i="30"/>
  <c r="E88" i="28"/>
  <c r="O88" i="28" s="1"/>
  <c r="E92" i="28"/>
  <c r="I86" i="28"/>
  <c r="I85" i="28" s="1"/>
  <c r="E90" i="28"/>
  <c r="R95" i="28"/>
  <c r="E24" i="28"/>
  <c r="P36" i="28"/>
  <c r="E42" i="28"/>
  <c r="E89" i="28"/>
  <c r="E93" i="28"/>
  <c r="R8" i="28"/>
  <c r="C103" i="28"/>
  <c r="O55" i="28"/>
  <c r="E60" i="28"/>
  <c r="O60" i="28" s="1"/>
  <c r="O67" i="28"/>
  <c r="E87" i="28"/>
  <c r="O34" i="28"/>
  <c r="P34" i="28"/>
  <c r="M38" i="28"/>
  <c r="P43" i="28"/>
  <c r="E50" i="28"/>
  <c r="P50" i="28" s="1"/>
  <c r="O33" i="28"/>
  <c r="O62" i="28"/>
  <c r="O73" i="28"/>
  <c r="H85" i="28"/>
  <c r="K12" i="30"/>
  <c r="S12" i="30" s="1"/>
  <c r="G13" i="30"/>
  <c r="Q13" i="30" s="1"/>
  <c r="T39" i="30"/>
  <c r="E49" i="28"/>
  <c r="P49" i="28" s="1"/>
  <c r="E56" i="28"/>
  <c r="P56" i="28" s="1"/>
  <c r="O58" i="28"/>
  <c r="O63" i="28"/>
  <c r="P64" i="28"/>
  <c r="O68" i="28"/>
  <c r="O70" i="28"/>
  <c r="O74" i="28"/>
  <c r="P75" i="28"/>
  <c r="P76" i="28"/>
  <c r="P77" i="28"/>
  <c r="P78" i="28"/>
  <c r="Q75" i="28"/>
  <c r="Q76" i="28"/>
  <c r="Q77" i="28"/>
  <c r="O66" i="28"/>
  <c r="E99" i="28"/>
  <c r="I97" i="28"/>
  <c r="I38" i="28"/>
  <c r="E44" i="28"/>
  <c r="P44" i="28" s="1"/>
  <c r="I13" i="28"/>
  <c r="I12" i="28" s="1"/>
  <c r="L13" i="28"/>
  <c r="L12" i="28" s="1"/>
  <c r="E23" i="28"/>
  <c r="L38" i="28"/>
  <c r="P60" i="28"/>
  <c r="R27" i="28"/>
  <c r="D103" i="28"/>
  <c r="D113" i="28" s="1"/>
  <c r="R40" i="28"/>
  <c r="R28" i="28"/>
  <c r="R29" i="28" s="1"/>
  <c r="O42" i="28"/>
  <c r="P42" i="28"/>
  <c r="F13" i="28"/>
  <c r="E18" i="28"/>
  <c r="O29" i="28"/>
  <c r="P29" i="28"/>
  <c r="Q87" i="28"/>
  <c r="O87" i="28"/>
  <c r="N13" i="28"/>
  <c r="S26" i="28"/>
  <c r="O32" i="28"/>
  <c r="O37" i="28"/>
  <c r="F38" i="28"/>
  <c r="J38" i="28"/>
  <c r="R38" i="28" s="1"/>
  <c r="O48" i="28"/>
  <c r="O57" i="28"/>
  <c r="O61" i="28"/>
  <c r="O65" i="28"/>
  <c r="O69" i="28"/>
  <c r="O72" i="28"/>
  <c r="O79" i="28"/>
  <c r="F95" i="28"/>
  <c r="E95" i="28" s="1"/>
  <c r="Q95" i="28" s="1"/>
  <c r="K13" i="28"/>
  <c r="G38" i="28"/>
  <c r="O56" i="28"/>
  <c r="E71" i="28"/>
  <c r="F86" i="28"/>
  <c r="F97" i="28"/>
  <c r="E13" i="28" l="1"/>
  <c r="T84" i="30"/>
  <c r="H11" i="30"/>
  <c r="R11" i="30" s="1"/>
  <c r="R12" i="30"/>
  <c r="H102" i="30"/>
  <c r="E86" i="28"/>
  <c r="O86" i="28" s="1"/>
  <c r="L11" i="28"/>
  <c r="L10" i="28" s="1"/>
  <c r="R85" i="28"/>
  <c r="H10" i="28"/>
  <c r="I11" i="28"/>
  <c r="I10" i="28" s="1"/>
  <c r="G12" i="30"/>
  <c r="G11" i="30" s="1"/>
  <c r="K11" i="30"/>
  <c r="S11" i="30" s="1"/>
  <c r="K102" i="30"/>
  <c r="T13" i="30"/>
  <c r="U12" i="30"/>
  <c r="U13" i="30" s="1"/>
  <c r="E38" i="28"/>
  <c r="O38" i="28" s="1"/>
  <c r="I103" i="28"/>
  <c r="I109" i="28" s="1"/>
  <c r="E97" i="28"/>
  <c r="Q97" i="28" s="1"/>
  <c r="R9" i="28"/>
  <c r="R19" i="28"/>
  <c r="R21" i="28" s="1"/>
  <c r="R15" i="28"/>
  <c r="F12" i="28"/>
  <c r="E12" i="28" s="1"/>
  <c r="P38" i="28"/>
  <c r="F85" i="28"/>
  <c r="E85" i="28" s="1"/>
  <c r="P71" i="28"/>
  <c r="O71" i="28"/>
  <c r="P86" i="28"/>
  <c r="Q38" i="28" l="1"/>
  <c r="F11" i="28"/>
  <c r="F10" i="28" s="1"/>
  <c r="L103" i="28"/>
  <c r="G102" i="30"/>
  <c r="U108" i="30"/>
  <c r="K108" i="30"/>
  <c r="Q12" i="30"/>
  <c r="Q11" i="30"/>
  <c r="U18" i="30"/>
  <c r="T12" i="30"/>
  <c r="G107" i="30"/>
  <c r="H110" i="30"/>
  <c r="R109" i="28"/>
  <c r="O85" i="28"/>
  <c r="Q85" i="28"/>
  <c r="P85" i="28"/>
  <c r="E11" i="28" l="1"/>
  <c r="E10" i="28" s="1"/>
  <c r="P10" i="28" s="1"/>
  <c r="L109" i="28"/>
  <c r="S103" i="28"/>
  <c r="U112" i="30"/>
  <c r="R102" i="30"/>
  <c r="G109" i="30"/>
  <c r="G111" i="30" s="1"/>
  <c r="S102" i="30"/>
  <c r="Q12" i="28"/>
  <c r="P12" i="28"/>
  <c r="O12" i="28"/>
  <c r="F103" i="28"/>
  <c r="R11" i="28"/>
  <c r="R12" i="28" s="1"/>
  <c r="P11" i="28" l="1"/>
  <c r="E103" i="28"/>
  <c r="Q11" i="28"/>
  <c r="O11" i="28"/>
  <c r="R17" i="28"/>
  <c r="E108" i="28"/>
  <c r="F111" i="28"/>
  <c r="E110" i="28" l="1"/>
  <c r="E112" i="28" s="1"/>
  <c r="P103" i="28"/>
  <c r="R113" i="28"/>
  <c r="O103" i="28"/>
  <c r="E100" i="27" l="1"/>
  <c r="E99" i="27"/>
  <c r="E94" i="27"/>
  <c r="E80" i="27"/>
  <c r="E81" i="27"/>
  <c r="E83" i="27"/>
  <c r="E84" i="27"/>
  <c r="E87" i="27"/>
  <c r="E88" i="27"/>
  <c r="E90" i="27"/>
  <c r="E91" i="27"/>
  <c r="E78" i="27"/>
  <c r="E77" i="27"/>
  <c r="E76" i="27"/>
  <c r="E75" i="27"/>
  <c r="E74" i="27"/>
  <c r="E73" i="27"/>
  <c r="E67" i="27"/>
  <c r="E66" i="27"/>
  <c r="E61" i="27"/>
  <c r="E62" i="27"/>
  <c r="E63" i="27"/>
  <c r="E64" i="27"/>
  <c r="E60" i="27"/>
  <c r="E57" i="27"/>
  <c r="E58" i="27"/>
  <c r="K58" i="27" s="1"/>
  <c r="E53" i="27"/>
  <c r="K53" i="27" s="1"/>
  <c r="E54" i="27"/>
  <c r="K54" i="27" s="1"/>
  <c r="E55" i="27"/>
  <c r="E51" i="27"/>
  <c r="E46" i="27"/>
  <c r="K46" i="27" s="1"/>
  <c r="E47" i="27"/>
  <c r="K47" i="27" s="1"/>
  <c r="E48" i="27"/>
  <c r="K48" i="27" s="1"/>
  <c r="E49" i="27"/>
  <c r="K49" i="27" s="1"/>
  <c r="E45" i="27"/>
  <c r="K45" i="27" s="1"/>
  <c r="E43" i="27"/>
  <c r="E42" i="27"/>
  <c r="K42" i="27" s="1"/>
  <c r="E41" i="27"/>
  <c r="K41" i="27" s="1"/>
  <c r="E40" i="27"/>
  <c r="K40" i="27" s="1"/>
  <c r="E39" i="27"/>
  <c r="E33" i="27"/>
  <c r="K33" i="27" s="1"/>
  <c r="E34" i="27"/>
  <c r="E35" i="27"/>
  <c r="K35" i="27" s="1"/>
  <c r="E36" i="27"/>
  <c r="E37" i="27"/>
  <c r="E32" i="27"/>
  <c r="E24" i="27"/>
  <c r="K24" i="27" s="1"/>
  <c r="E25" i="27"/>
  <c r="K25" i="27" s="1"/>
  <c r="E26" i="27"/>
  <c r="E27" i="27"/>
  <c r="K27" i="27" s="1"/>
  <c r="E28" i="27"/>
  <c r="E29" i="27"/>
  <c r="E30" i="27"/>
  <c r="K30" i="27" s="1"/>
  <c r="E23" i="27"/>
  <c r="E14" i="27"/>
  <c r="E15" i="27"/>
  <c r="E16" i="27"/>
  <c r="E17" i="27"/>
  <c r="E18" i="27"/>
  <c r="E19" i="27"/>
  <c r="E20" i="27"/>
  <c r="E21" i="27"/>
  <c r="D131" i="27"/>
  <c r="D123" i="27"/>
  <c r="D121" i="27"/>
  <c r="L121" i="27" s="1"/>
  <c r="D120" i="27"/>
  <c r="D119" i="27"/>
  <c r="L119" i="27" s="1"/>
  <c r="G118" i="27"/>
  <c r="D118" i="27" s="1"/>
  <c r="L118" i="27" s="1"/>
  <c r="I117" i="27"/>
  <c r="I115" i="27" s="1"/>
  <c r="H117" i="27"/>
  <c r="H115" i="27" s="1"/>
  <c r="F117" i="27"/>
  <c r="C117" i="27"/>
  <c r="B117" i="27"/>
  <c r="B115" i="27" s="1"/>
  <c r="D116" i="27"/>
  <c r="L116" i="27" s="1"/>
  <c r="F115" i="27"/>
  <c r="C115" i="27"/>
  <c r="D114" i="27"/>
  <c r="D113" i="27"/>
  <c r="L113" i="27" s="1"/>
  <c r="D112" i="27"/>
  <c r="L112" i="27" s="1"/>
  <c r="D111" i="27"/>
  <c r="L111" i="27" s="1"/>
  <c r="D110" i="27"/>
  <c r="L110" i="27" s="1"/>
  <c r="I109" i="27"/>
  <c r="H109" i="27"/>
  <c r="H105" i="27" s="1"/>
  <c r="G109" i="27"/>
  <c r="G105" i="27" s="1"/>
  <c r="F109" i="27"/>
  <c r="D108" i="27"/>
  <c r="L108" i="27" s="1"/>
  <c r="D107" i="27"/>
  <c r="I105" i="27"/>
  <c r="F105" i="27"/>
  <c r="C105" i="27"/>
  <c r="B105" i="27"/>
  <c r="D104" i="27"/>
  <c r="L104" i="27" s="1"/>
  <c r="D103" i="27"/>
  <c r="L103" i="27" s="1"/>
  <c r="D102" i="27"/>
  <c r="L102" i="27" s="1"/>
  <c r="D101" i="27"/>
  <c r="D100" i="27"/>
  <c r="D99" i="27"/>
  <c r="N99" i="27" s="1"/>
  <c r="D98" i="27"/>
  <c r="D97" i="27"/>
  <c r="M96" i="27"/>
  <c r="N97" i="27" s="1"/>
  <c r="I95" i="27"/>
  <c r="I93" i="27" s="1"/>
  <c r="I92" i="27" s="1"/>
  <c r="H95" i="27"/>
  <c r="H93" i="27" s="1"/>
  <c r="H92" i="27" s="1"/>
  <c r="G95" i="27"/>
  <c r="E95" i="27" s="1"/>
  <c r="F95" i="27"/>
  <c r="C95" i="27"/>
  <c r="C93" i="27" s="1"/>
  <c r="C92" i="27" s="1"/>
  <c r="B95" i="27"/>
  <c r="B93" i="27" s="1"/>
  <c r="B92" i="27" s="1"/>
  <c r="D94" i="27"/>
  <c r="F93" i="27"/>
  <c r="F92" i="27" s="1"/>
  <c r="M91" i="27"/>
  <c r="D91" i="27"/>
  <c r="D90" i="27"/>
  <c r="I89" i="27"/>
  <c r="H89" i="27"/>
  <c r="G89" i="27"/>
  <c r="F89" i="27"/>
  <c r="C89" i="27"/>
  <c r="B89" i="27"/>
  <c r="D88" i="27"/>
  <c r="D87" i="27"/>
  <c r="I86" i="27"/>
  <c r="I85" i="27" s="1"/>
  <c r="H86" i="27"/>
  <c r="H85" i="27" s="1"/>
  <c r="G86" i="27"/>
  <c r="G85" i="27" s="1"/>
  <c r="F86" i="27"/>
  <c r="C86" i="27"/>
  <c r="B86" i="27"/>
  <c r="B85" i="27" s="1"/>
  <c r="D84" i="27"/>
  <c r="D83" i="27"/>
  <c r="I82" i="27"/>
  <c r="H82" i="27"/>
  <c r="G82" i="27"/>
  <c r="F82" i="27"/>
  <c r="C82" i="27"/>
  <c r="B82" i="27"/>
  <c r="D81" i="27"/>
  <c r="D80" i="27"/>
  <c r="I79" i="27"/>
  <c r="H79" i="27"/>
  <c r="G79" i="27"/>
  <c r="F79" i="27"/>
  <c r="C79" i="27"/>
  <c r="B79" i="27"/>
  <c r="D78" i="27"/>
  <c r="D77" i="27"/>
  <c r="M76" i="27"/>
  <c r="D76" i="27"/>
  <c r="L76" i="27" s="1"/>
  <c r="L75" i="27"/>
  <c r="D75" i="27"/>
  <c r="D74" i="27"/>
  <c r="L74" i="27" s="1"/>
  <c r="D73" i="27"/>
  <c r="L73" i="27" s="1"/>
  <c r="I72" i="27"/>
  <c r="H72" i="27"/>
  <c r="G72" i="27"/>
  <c r="F72" i="27"/>
  <c r="B72" i="27"/>
  <c r="D71" i="27"/>
  <c r="D70" i="27"/>
  <c r="D69" i="27"/>
  <c r="D68" i="27"/>
  <c r="J68" i="27" s="1"/>
  <c r="D67" i="27"/>
  <c r="L67" i="27" s="1"/>
  <c r="D66" i="27"/>
  <c r="L66" i="27" s="1"/>
  <c r="I65" i="27"/>
  <c r="H65" i="27"/>
  <c r="G65" i="27"/>
  <c r="F65" i="27"/>
  <c r="D64" i="27"/>
  <c r="L64" i="27" s="1"/>
  <c r="D63" i="27"/>
  <c r="D62" i="27"/>
  <c r="L62" i="27" s="1"/>
  <c r="D61" i="27"/>
  <c r="L61" i="27" s="1"/>
  <c r="D60" i="27"/>
  <c r="L60" i="27" s="1"/>
  <c r="I59" i="27"/>
  <c r="H59" i="27"/>
  <c r="G59" i="27"/>
  <c r="F59" i="27"/>
  <c r="D59" i="27" s="1"/>
  <c r="B59" i="27"/>
  <c r="D58" i="27"/>
  <c r="J58" i="27" s="1"/>
  <c r="D57" i="27"/>
  <c r="H56" i="27"/>
  <c r="G56" i="27"/>
  <c r="C56" i="27"/>
  <c r="D55" i="27"/>
  <c r="D54" i="27"/>
  <c r="J54" i="27" s="1"/>
  <c r="D53" i="27"/>
  <c r="J53" i="27" s="1"/>
  <c r="I52" i="27"/>
  <c r="E52" i="27" s="1"/>
  <c r="D51" i="27"/>
  <c r="L51" i="27" s="1"/>
  <c r="H50" i="27"/>
  <c r="G50" i="27"/>
  <c r="F50" i="27"/>
  <c r="B50" i="27"/>
  <c r="D49" i="27"/>
  <c r="J49" i="27" s="1"/>
  <c r="D48" i="27"/>
  <c r="J48" i="27" s="1"/>
  <c r="D47" i="27"/>
  <c r="J47" i="27" s="1"/>
  <c r="D46" i="27"/>
  <c r="J46" i="27" s="1"/>
  <c r="D45" i="27"/>
  <c r="J45" i="27" s="1"/>
  <c r="H44" i="27"/>
  <c r="D44" i="27" s="1"/>
  <c r="J44" i="27" s="1"/>
  <c r="D43" i="27"/>
  <c r="L43" i="27" s="1"/>
  <c r="D42" i="27"/>
  <c r="J42" i="27" s="1"/>
  <c r="D41" i="27"/>
  <c r="J41" i="27" s="1"/>
  <c r="D40" i="27"/>
  <c r="J40" i="27" s="1"/>
  <c r="D39" i="27"/>
  <c r="J39" i="27" s="1"/>
  <c r="I38" i="27"/>
  <c r="G38" i="27"/>
  <c r="F38" i="27"/>
  <c r="C38" i="27"/>
  <c r="B38" i="27"/>
  <c r="D37" i="27"/>
  <c r="L37" i="27" s="1"/>
  <c r="D36" i="27"/>
  <c r="D35" i="27"/>
  <c r="J35" i="27" s="1"/>
  <c r="D34" i="27"/>
  <c r="L34" i="27" s="1"/>
  <c r="D33" i="27"/>
  <c r="J33" i="27" s="1"/>
  <c r="D32" i="27"/>
  <c r="O31" i="27"/>
  <c r="O32" i="27" s="1"/>
  <c r="I31" i="27"/>
  <c r="H31" i="27"/>
  <c r="G31" i="27"/>
  <c r="F31" i="27"/>
  <c r="C31" i="27"/>
  <c r="B31" i="27"/>
  <c r="D30" i="27"/>
  <c r="J30" i="27" s="1"/>
  <c r="O29" i="27"/>
  <c r="D29" i="27"/>
  <c r="L29" i="27" s="1"/>
  <c r="D28" i="27"/>
  <c r="L28" i="27" s="1"/>
  <c r="D27" i="27"/>
  <c r="J27" i="27" s="1"/>
  <c r="N26" i="27"/>
  <c r="D26" i="27"/>
  <c r="N25" i="27"/>
  <c r="D25" i="27"/>
  <c r="D24" i="27"/>
  <c r="N23" i="27"/>
  <c r="D23" i="27"/>
  <c r="I22" i="27"/>
  <c r="H22" i="27"/>
  <c r="G22" i="27"/>
  <c r="F22" i="27"/>
  <c r="C22" i="27"/>
  <c r="B22" i="27"/>
  <c r="M21" i="27"/>
  <c r="D21" i="27"/>
  <c r="O21" i="27" s="1"/>
  <c r="O22" i="27" s="1"/>
  <c r="C21" i="27"/>
  <c r="D20" i="27"/>
  <c r="D19" i="27"/>
  <c r="L19" i="27" s="1"/>
  <c r="D18" i="27"/>
  <c r="C18" i="27"/>
  <c r="N17" i="27"/>
  <c r="D17" i="27"/>
  <c r="M16" i="27"/>
  <c r="D16" i="27"/>
  <c r="L16" i="27" s="1"/>
  <c r="C16" i="27"/>
  <c r="M15" i="27"/>
  <c r="M17" i="27" s="1"/>
  <c r="D15" i="27"/>
  <c r="D14" i="27"/>
  <c r="C14" i="27"/>
  <c r="I13" i="27"/>
  <c r="H13" i="27"/>
  <c r="G13" i="27"/>
  <c r="F13" i="27"/>
  <c r="B13" i="27"/>
  <c r="O2" i="27"/>
  <c r="O7" i="27" s="1"/>
  <c r="E58" i="3"/>
  <c r="E59" i="3"/>
  <c r="D63" i="3"/>
  <c r="E63" i="3" s="1"/>
  <c r="D62" i="3"/>
  <c r="D64" i="3"/>
  <c r="C46" i="3"/>
  <c r="F44" i="2"/>
  <c r="F43" i="2"/>
  <c r="F42" i="2"/>
  <c r="F41" i="2"/>
  <c r="F40" i="2"/>
  <c r="F39" i="2"/>
  <c r="F38" i="2"/>
  <c r="F37" i="2"/>
  <c r="F36" i="2"/>
  <c r="F34" i="2"/>
  <c r="F33" i="2"/>
  <c r="F32" i="2"/>
  <c r="F30" i="2"/>
  <c r="F29" i="2"/>
  <c r="F28" i="2"/>
  <c r="F27" i="2"/>
  <c r="F21" i="2"/>
  <c r="F18" i="2"/>
  <c r="C14" i="3"/>
  <c r="G117" i="27" l="1"/>
  <c r="G115" i="27" s="1"/>
  <c r="E59" i="27"/>
  <c r="K59" i="27" s="1"/>
  <c r="G12" i="27"/>
  <c r="G11" i="27" s="1"/>
  <c r="E65" i="27"/>
  <c r="E72" i="27"/>
  <c r="K72" i="27" s="1"/>
  <c r="F12" i="27"/>
  <c r="F11" i="27" s="1"/>
  <c r="F122" i="27" s="1"/>
  <c r="E79" i="27"/>
  <c r="E82" i="27"/>
  <c r="D52" i="27"/>
  <c r="L52" i="27" s="1"/>
  <c r="M107" i="27"/>
  <c r="D117" i="27"/>
  <c r="L117" i="27" s="1"/>
  <c r="I50" i="27"/>
  <c r="I12" i="27" s="1"/>
  <c r="I11" i="27" s="1"/>
  <c r="E56" i="27"/>
  <c r="K56" i="27" s="1"/>
  <c r="D82" i="27"/>
  <c r="D86" i="27"/>
  <c r="E93" i="27"/>
  <c r="E92" i="27" s="1"/>
  <c r="B12" i="27"/>
  <c r="B11" i="27" s="1"/>
  <c r="D31" i="27"/>
  <c r="J31" i="27" s="1"/>
  <c r="D56" i="27"/>
  <c r="J56" i="27" s="1"/>
  <c r="D79" i="27"/>
  <c r="K18" i="27"/>
  <c r="K14" i="27"/>
  <c r="E13" i="27"/>
  <c r="E44" i="27"/>
  <c r="K44" i="27" s="1"/>
  <c r="L24" i="27"/>
  <c r="J24" i="27"/>
  <c r="L32" i="27"/>
  <c r="J32" i="27"/>
  <c r="L69" i="27"/>
  <c r="J69" i="27"/>
  <c r="E85" i="27"/>
  <c r="E89" i="27"/>
  <c r="K21" i="27"/>
  <c r="K23" i="27"/>
  <c r="E22" i="27"/>
  <c r="K22" i="27" s="1"/>
  <c r="K32" i="27"/>
  <c r="E31" i="27"/>
  <c r="K31" i="27" s="1"/>
  <c r="D13" i="27"/>
  <c r="L21" i="27"/>
  <c r="J21" i="27"/>
  <c r="L25" i="27"/>
  <c r="J25" i="27"/>
  <c r="L59" i="27"/>
  <c r="J59" i="27"/>
  <c r="L70" i="27"/>
  <c r="J70" i="27"/>
  <c r="K16" i="27"/>
  <c r="C13" i="27"/>
  <c r="C12" i="27" s="1"/>
  <c r="C11" i="27" s="1"/>
  <c r="J18" i="27"/>
  <c r="L14" i="27"/>
  <c r="J14" i="27"/>
  <c r="J16" i="27"/>
  <c r="D22" i="27"/>
  <c r="J22" i="27" s="1"/>
  <c r="L23" i="27"/>
  <c r="J23" i="27"/>
  <c r="L27" i="27"/>
  <c r="L39" i="27"/>
  <c r="L71" i="27"/>
  <c r="J71" i="27"/>
  <c r="F85" i="27"/>
  <c r="D85" i="27" s="1"/>
  <c r="C85" i="27"/>
  <c r="D115" i="27"/>
  <c r="M115" i="27" s="1"/>
  <c r="K39" i="27"/>
  <c r="E38" i="27"/>
  <c r="K38" i="27" s="1"/>
  <c r="E50" i="27"/>
  <c r="K50" i="27" s="1"/>
  <c r="C62" i="3"/>
  <c r="C61" i="3" s="1"/>
  <c r="C60" i="3" s="1"/>
  <c r="D61" i="3"/>
  <c r="B10" i="27"/>
  <c r="B122" i="27" s="1"/>
  <c r="G93" i="27"/>
  <c r="D95" i="27"/>
  <c r="D89" i="27"/>
  <c r="E86" i="27"/>
  <c r="G122" i="27"/>
  <c r="O13" i="27"/>
  <c r="O17" i="27" s="1"/>
  <c r="N15" i="27"/>
  <c r="N19" i="27"/>
  <c r="L30" i="27"/>
  <c r="L35" i="27"/>
  <c r="L40" i="27"/>
  <c r="L41" i="27"/>
  <c r="L46" i="27"/>
  <c r="N46" i="27"/>
  <c r="L115" i="27"/>
  <c r="F10" i="27"/>
  <c r="L33" i="27"/>
  <c r="H38" i="27"/>
  <c r="H12" i="27" s="1"/>
  <c r="L44" i="27"/>
  <c r="L48" i="27"/>
  <c r="D65" i="27"/>
  <c r="L65" i="27" s="1"/>
  <c r="D72" i="27"/>
  <c r="J72" i="27" s="1"/>
  <c r="L107" i="27"/>
  <c r="D109" i="27"/>
  <c r="E77" i="5"/>
  <c r="D34" i="3"/>
  <c r="I10" i="27" l="1"/>
  <c r="N9" i="27" s="1"/>
  <c r="I122" i="27"/>
  <c r="D50" i="27"/>
  <c r="C10" i="27"/>
  <c r="L31" i="27"/>
  <c r="C122" i="27"/>
  <c r="K122" i="27" s="1"/>
  <c r="L22" i="27"/>
  <c r="M50" i="27"/>
  <c r="K13" i="27"/>
  <c r="E12" i="27"/>
  <c r="J13" i="27"/>
  <c r="L13" i="27"/>
  <c r="D38" i="27"/>
  <c r="J38" i="27" s="1"/>
  <c r="E61" i="3"/>
  <c r="E62" i="3"/>
  <c r="G92" i="27"/>
  <c r="D93" i="27"/>
  <c r="K109" i="27"/>
  <c r="L109" i="27"/>
  <c r="D105" i="27"/>
  <c r="L72" i="27"/>
  <c r="M73" i="27"/>
  <c r="N27" i="27"/>
  <c r="O27" i="27" s="1"/>
  <c r="H11" i="27"/>
  <c r="N21" i="27"/>
  <c r="D18" i="1"/>
  <c r="E35" i="2"/>
  <c r="F26" i="2"/>
  <c r="D129" i="4"/>
  <c r="F105" i="5"/>
  <c r="F94" i="4"/>
  <c r="J50" i="27" l="1"/>
  <c r="L50" i="27"/>
  <c r="L38" i="27"/>
  <c r="D12" i="27"/>
  <c r="L12" i="27" s="1"/>
  <c r="E11" i="27"/>
  <c r="K12" i="27"/>
  <c r="M39" i="27"/>
  <c r="G10" i="27"/>
  <c r="D92" i="27"/>
  <c r="H122" i="27"/>
  <c r="H10" i="27"/>
  <c r="K105" i="27"/>
  <c r="L105" i="27"/>
  <c r="H16" i="2"/>
  <c r="E104" i="5"/>
  <c r="N1" i="4"/>
  <c r="N3" i="4" s="1"/>
  <c r="L11" i="27" l="1"/>
  <c r="M12" i="27"/>
  <c r="O12" i="27"/>
  <c r="O15" i="27" s="1"/>
  <c r="O18" i="27" s="1"/>
  <c r="K11" i="27"/>
  <c r="E10" i="27"/>
  <c r="K10" i="27" s="1"/>
  <c r="J12" i="27"/>
  <c r="D11" i="27"/>
  <c r="J11" i="27" s="1"/>
  <c r="N7" i="27"/>
  <c r="G136" i="27"/>
  <c r="G138" i="27" s="1"/>
  <c r="G140" i="27" s="1"/>
  <c r="G130" i="27"/>
  <c r="P2" i="27"/>
  <c r="H138" i="27"/>
  <c r="O11" i="27"/>
  <c r="J36" i="2"/>
  <c r="P16" i="27" l="1"/>
  <c r="O10" i="27"/>
  <c r="D122" i="27"/>
  <c r="D10" i="27"/>
  <c r="J10" i="27" s="1"/>
  <c r="M4" i="27" l="1"/>
  <c r="N10" i="27"/>
  <c r="D129" i="27"/>
  <c r="G132" i="27" s="1"/>
  <c r="G133" i="27" s="1"/>
  <c r="H134" i="27" s="1"/>
  <c r="M136" i="27"/>
  <c r="M137" i="27" s="1"/>
  <c r="AL13" i="7"/>
  <c r="M15" i="4"/>
  <c r="W410" i="26" l="1"/>
  <c r="J27" i="1"/>
  <c r="M17" i="1"/>
  <c r="E9" i="1"/>
  <c r="H66" i="3" l="1"/>
  <c r="H32" i="3" l="1"/>
  <c r="E25" i="2"/>
  <c r="F93" i="4"/>
  <c r="D15" i="3" l="1"/>
  <c r="I51" i="2"/>
  <c r="E17" i="2"/>
  <c r="F17" i="2" s="1"/>
  <c r="I13" i="2"/>
  <c r="D14" i="3" l="1"/>
  <c r="D47" i="3"/>
  <c r="D46" i="3" s="1"/>
  <c r="D13" i="3"/>
  <c r="F26" i="5"/>
  <c r="S23" i="5" s="1"/>
  <c r="H19" i="5"/>
  <c r="F19" i="5" s="1"/>
  <c r="H91" i="5"/>
  <c r="H90" i="5"/>
  <c r="H81" i="5"/>
  <c r="F54" i="4"/>
  <c r="H80" i="5" l="1"/>
  <c r="W787" i="26" l="1"/>
  <c r="R787" i="26"/>
  <c r="X786" i="26"/>
  <c r="W786" i="26"/>
  <c r="R786" i="26"/>
  <c r="X785" i="26"/>
  <c r="W785" i="26"/>
  <c r="R785" i="26"/>
  <c r="X784" i="26"/>
  <c r="W784" i="26"/>
  <c r="R784" i="26"/>
  <c r="Y784" i="26" s="1"/>
  <c r="X783" i="26"/>
  <c r="W783" i="26"/>
  <c r="R783" i="26"/>
  <c r="Y783" i="26" s="1"/>
  <c r="X782" i="26"/>
  <c r="W782" i="26"/>
  <c r="R782" i="26"/>
  <c r="Y782" i="26" s="1"/>
  <c r="X781" i="26"/>
  <c r="W781" i="26"/>
  <c r="R781" i="26"/>
  <c r="Y781" i="26" s="1"/>
  <c r="X780" i="26"/>
  <c r="W780" i="26"/>
  <c r="R780" i="26"/>
  <c r="Y780" i="26" s="1"/>
  <c r="X779" i="26"/>
  <c r="W779" i="26"/>
  <c r="R779" i="26"/>
  <c r="Y779" i="26" s="1"/>
  <c r="X778" i="26"/>
  <c r="W778" i="26"/>
  <c r="R778" i="26"/>
  <c r="Y778" i="26" s="1"/>
  <c r="Y776" i="26"/>
  <c r="X776" i="26"/>
  <c r="W776" i="26"/>
  <c r="Y775" i="26"/>
  <c r="X775" i="26"/>
  <c r="W775" i="26"/>
  <c r="Y774" i="26"/>
  <c r="X774" i="26"/>
  <c r="W774" i="26"/>
  <c r="Y773" i="26"/>
  <c r="X773" i="26"/>
  <c r="W773" i="26"/>
  <c r="Y772" i="26"/>
  <c r="X772" i="26"/>
  <c r="W772" i="26"/>
  <c r="Y771" i="26"/>
  <c r="X771" i="26"/>
  <c r="W771" i="26"/>
  <c r="Y770" i="26"/>
  <c r="X770" i="26"/>
  <c r="W770" i="26"/>
  <c r="Y769" i="26"/>
  <c r="Y768" i="26" s="1"/>
  <c r="X769" i="26"/>
  <c r="X768" i="26" s="1"/>
  <c r="W769" i="26"/>
  <c r="W768" i="26"/>
  <c r="V768" i="26"/>
  <c r="U768" i="26"/>
  <c r="T768" i="26"/>
  <c r="S768" i="26"/>
  <c r="R768" i="26"/>
  <c r="Q768" i="26"/>
  <c r="P768" i="26"/>
  <c r="O768" i="26"/>
  <c r="N768" i="26"/>
  <c r="M768" i="26"/>
  <c r="L768" i="26"/>
  <c r="K768" i="26"/>
  <c r="J768" i="26"/>
  <c r="I768" i="26"/>
  <c r="H768" i="26"/>
  <c r="G768" i="26"/>
  <c r="F768" i="26"/>
  <c r="Y767" i="26"/>
  <c r="X767" i="26"/>
  <c r="W767" i="26"/>
  <c r="Y766" i="26"/>
  <c r="X766" i="26"/>
  <c r="W766" i="26"/>
  <c r="Y765" i="26"/>
  <c r="J765" i="26"/>
  <c r="X765" i="26" s="1"/>
  <c r="Y764" i="26"/>
  <c r="X764" i="26"/>
  <c r="W764" i="26"/>
  <c r="Y763" i="26"/>
  <c r="X763" i="26"/>
  <c r="W763" i="26"/>
  <c r="Y762" i="26"/>
  <c r="X762" i="26"/>
  <c r="W762" i="26"/>
  <c r="Y761" i="26"/>
  <c r="X761" i="26"/>
  <c r="W761" i="26"/>
  <c r="Y760" i="26"/>
  <c r="X760" i="26"/>
  <c r="W760" i="26"/>
  <c r="V759" i="26"/>
  <c r="U759" i="26"/>
  <c r="T759" i="26"/>
  <c r="S759" i="26"/>
  <c r="R759" i="26"/>
  <c r="Q759" i="26"/>
  <c r="P759" i="26"/>
  <c r="O759" i="26"/>
  <c r="N759" i="26"/>
  <c r="M759" i="26"/>
  <c r="L759" i="26"/>
  <c r="K759" i="26"/>
  <c r="J759" i="26"/>
  <c r="I759" i="26"/>
  <c r="H759" i="26"/>
  <c r="G759" i="26"/>
  <c r="F759" i="26"/>
  <c r="Y758" i="26"/>
  <c r="J758" i="26"/>
  <c r="Y757" i="26"/>
  <c r="X757" i="26"/>
  <c r="W757" i="26"/>
  <c r="Y756" i="26"/>
  <c r="X756" i="26"/>
  <c r="W756" i="26"/>
  <c r="Y755" i="26"/>
  <c r="X755" i="26"/>
  <c r="W755" i="26"/>
  <c r="Y754" i="26"/>
  <c r="X754" i="26"/>
  <c r="W754" i="26"/>
  <c r="V753" i="26"/>
  <c r="U753" i="26"/>
  <c r="U728" i="26" s="1"/>
  <c r="T753" i="26"/>
  <c r="S753" i="26"/>
  <c r="R753" i="26"/>
  <c r="Q753" i="26"/>
  <c r="P753" i="26"/>
  <c r="O753" i="26"/>
  <c r="N753" i="26"/>
  <c r="M753" i="26"/>
  <c r="L753" i="26"/>
  <c r="K753" i="26"/>
  <c r="I753" i="26"/>
  <c r="H753" i="26"/>
  <c r="H728" i="26" s="1"/>
  <c r="G753" i="26"/>
  <c r="F753" i="26"/>
  <c r="Y752" i="26"/>
  <c r="X752" i="26"/>
  <c r="W752" i="26"/>
  <c r="Y751" i="26"/>
  <c r="X751" i="26"/>
  <c r="W751" i="26"/>
  <c r="Y750" i="26"/>
  <c r="X750" i="26"/>
  <c r="W750" i="26"/>
  <c r="Y749" i="26"/>
  <c r="X749" i="26"/>
  <c r="W749" i="26"/>
  <c r="Y748" i="26"/>
  <c r="X748" i="26"/>
  <c r="W748" i="26"/>
  <c r="Y747" i="26"/>
  <c r="X747" i="26"/>
  <c r="W747" i="26"/>
  <c r="Y746" i="26"/>
  <c r="X746" i="26"/>
  <c r="W746" i="26"/>
  <c r="Y745" i="26"/>
  <c r="X745" i="26"/>
  <c r="W745" i="26"/>
  <c r="Y744" i="26"/>
  <c r="X744" i="26"/>
  <c r="W744" i="26"/>
  <c r="Y743" i="26"/>
  <c r="X743" i="26"/>
  <c r="W743" i="26"/>
  <c r="Y742" i="26"/>
  <c r="X742" i="26"/>
  <c r="W742" i="26"/>
  <c r="Y741" i="26"/>
  <c r="X741" i="26"/>
  <c r="W741" i="26"/>
  <c r="Y740" i="26"/>
  <c r="X740" i="26"/>
  <c r="W740" i="26"/>
  <c r="Y739" i="26"/>
  <c r="X739" i="26"/>
  <c r="W739" i="26"/>
  <c r="Y738" i="26"/>
  <c r="X738" i="26"/>
  <c r="W738" i="26"/>
  <c r="Y737" i="26"/>
  <c r="X737" i="26"/>
  <c r="W737" i="26"/>
  <c r="Y736" i="26"/>
  <c r="X736" i="26"/>
  <c r="W736" i="26"/>
  <c r="X735" i="26"/>
  <c r="W735" i="26"/>
  <c r="R735" i="26"/>
  <c r="Y735" i="26" s="1"/>
  <c r="X734" i="26"/>
  <c r="W734" i="26"/>
  <c r="R734" i="26"/>
  <c r="Y734" i="26" s="1"/>
  <c r="X733" i="26"/>
  <c r="W733" i="26"/>
  <c r="R733" i="26"/>
  <c r="Y733" i="26" s="1"/>
  <c r="X732" i="26"/>
  <c r="W732" i="26"/>
  <c r="R732" i="26"/>
  <c r="Y732" i="26" s="1"/>
  <c r="X731" i="26"/>
  <c r="W731" i="26"/>
  <c r="R731" i="26"/>
  <c r="Y731" i="26" s="1"/>
  <c r="X730" i="26"/>
  <c r="W730" i="26"/>
  <c r="R730" i="26"/>
  <c r="Y730" i="26" s="1"/>
  <c r="V729" i="26"/>
  <c r="U729" i="26"/>
  <c r="T729" i="26"/>
  <c r="S729" i="26"/>
  <c r="Q729" i="26"/>
  <c r="Q728" i="26" s="1"/>
  <c r="P729" i="26"/>
  <c r="O729" i="26"/>
  <c r="N729" i="26"/>
  <c r="M729" i="26"/>
  <c r="M728" i="26" s="1"/>
  <c r="L729" i="26"/>
  <c r="K729" i="26"/>
  <c r="J729" i="26"/>
  <c r="I729" i="26"/>
  <c r="I728" i="26" s="1"/>
  <c r="H729" i="26"/>
  <c r="G729" i="26"/>
  <c r="F729" i="26"/>
  <c r="V728" i="26"/>
  <c r="V662" i="26" s="1"/>
  <c r="P728" i="26"/>
  <c r="N728" i="26"/>
  <c r="N662" i="26" s="1"/>
  <c r="X727" i="26"/>
  <c r="W727" i="26"/>
  <c r="R727" i="26"/>
  <c r="Y727" i="26" s="1"/>
  <c r="Y726" i="26"/>
  <c r="X726" i="26"/>
  <c r="W726" i="26"/>
  <c r="Y725" i="26"/>
  <c r="X725" i="26"/>
  <c r="W725" i="26"/>
  <c r="Y724" i="26"/>
  <c r="X724" i="26"/>
  <c r="W724" i="26"/>
  <c r="Y723" i="26"/>
  <c r="X723" i="26"/>
  <c r="W723" i="26"/>
  <c r="Y722" i="26"/>
  <c r="X722" i="26"/>
  <c r="W722" i="26"/>
  <c r="Y721" i="26"/>
  <c r="X721" i="26"/>
  <c r="W721" i="26"/>
  <c r="Y720" i="26"/>
  <c r="X720" i="26"/>
  <c r="W720" i="26"/>
  <c r="Y719" i="26"/>
  <c r="J719" i="26"/>
  <c r="X719" i="26" s="1"/>
  <c r="Y718" i="26"/>
  <c r="X718" i="26"/>
  <c r="W718" i="26"/>
  <c r="Y717" i="26"/>
  <c r="X717" i="26"/>
  <c r="W717" i="26"/>
  <c r="Y716" i="26"/>
  <c r="X716" i="26"/>
  <c r="W716" i="26"/>
  <c r="Y715" i="26"/>
  <c r="X715" i="26"/>
  <c r="W715" i="26"/>
  <c r="Y714" i="26"/>
  <c r="X714" i="26"/>
  <c r="W714" i="26"/>
  <c r="Y713" i="26"/>
  <c r="X713" i="26"/>
  <c r="W713" i="26"/>
  <c r="Y712" i="26"/>
  <c r="X712" i="26"/>
  <c r="W712" i="26"/>
  <c r="Y711" i="26"/>
  <c r="X711" i="26"/>
  <c r="W711" i="26"/>
  <c r="Y710" i="26"/>
  <c r="X710" i="26"/>
  <c r="W710" i="26"/>
  <c r="Y709" i="26"/>
  <c r="X709" i="26"/>
  <c r="W709" i="26"/>
  <c r="Y708" i="26"/>
  <c r="X708" i="26"/>
  <c r="W708" i="26"/>
  <c r="Y707" i="26"/>
  <c r="X707" i="26"/>
  <c r="W707" i="26"/>
  <c r="Y706" i="26"/>
  <c r="X706" i="26"/>
  <c r="W706" i="26"/>
  <c r="Y705" i="26"/>
  <c r="X705" i="26"/>
  <c r="W705" i="26"/>
  <c r="Y704" i="26"/>
  <c r="X704" i="26"/>
  <c r="W704" i="26"/>
  <c r="Y703" i="26"/>
  <c r="X703" i="26"/>
  <c r="W703" i="26"/>
  <c r="Y702" i="26"/>
  <c r="X702" i="26"/>
  <c r="W702" i="26"/>
  <c r="Y701" i="26"/>
  <c r="X701" i="26"/>
  <c r="W701" i="26"/>
  <c r="Y700" i="26"/>
  <c r="X700" i="26"/>
  <c r="W700" i="26"/>
  <c r="Y699" i="26"/>
  <c r="X699" i="26"/>
  <c r="W699" i="26"/>
  <c r="Y698" i="26"/>
  <c r="X698" i="26"/>
  <c r="W698" i="26"/>
  <c r="Y697" i="26"/>
  <c r="X697" i="26"/>
  <c r="W697" i="26"/>
  <c r="Y696" i="26"/>
  <c r="X696" i="26"/>
  <c r="W696" i="26"/>
  <c r="Y695" i="26"/>
  <c r="X695" i="26"/>
  <c r="W695" i="26"/>
  <c r="Y694" i="26"/>
  <c r="X694" i="26"/>
  <c r="W694" i="26"/>
  <c r="Y693" i="26"/>
  <c r="X693" i="26"/>
  <c r="W693" i="26"/>
  <c r="Y692" i="26"/>
  <c r="X692" i="26"/>
  <c r="W692" i="26"/>
  <c r="Y691" i="26"/>
  <c r="X691" i="26"/>
  <c r="W691" i="26"/>
  <c r="Y690" i="26"/>
  <c r="X690" i="26"/>
  <c r="W690" i="26"/>
  <c r="Y689" i="26"/>
  <c r="X689" i="26"/>
  <c r="W689" i="26"/>
  <c r="Y688" i="26"/>
  <c r="X688" i="26"/>
  <c r="W688" i="26"/>
  <c r="Y687" i="26"/>
  <c r="X687" i="26"/>
  <c r="W687" i="26"/>
  <c r="Y686" i="26"/>
  <c r="X686" i="26"/>
  <c r="W686" i="26"/>
  <c r="Y685" i="26"/>
  <c r="X685" i="26"/>
  <c r="W685" i="26"/>
  <c r="Y684" i="26"/>
  <c r="X684" i="26"/>
  <c r="W684" i="26"/>
  <c r="Y683" i="26"/>
  <c r="X683" i="26"/>
  <c r="W683" i="26"/>
  <c r="Y682" i="26"/>
  <c r="X682" i="26"/>
  <c r="W682" i="26"/>
  <c r="Y681" i="26"/>
  <c r="X681" i="26"/>
  <c r="W681" i="26"/>
  <c r="Y680" i="26"/>
  <c r="X680" i="26"/>
  <c r="W680" i="26"/>
  <c r="Y679" i="26"/>
  <c r="X679" i="26"/>
  <c r="W679" i="26"/>
  <c r="Y678" i="26"/>
  <c r="X678" i="26"/>
  <c r="W678" i="26"/>
  <c r="Y677" i="26"/>
  <c r="X677" i="26"/>
  <c r="W677" i="26"/>
  <c r="Y676" i="26"/>
  <c r="X676" i="26"/>
  <c r="W676" i="26"/>
  <c r="Y675" i="26"/>
  <c r="X675" i="26"/>
  <c r="W675" i="26"/>
  <c r="V674" i="26"/>
  <c r="U674" i="26"/>
  <c r="T674" i="26"/>
  <c r="T673" i="26" s="1"/>
  <c r="S674" i="26"/>
  <c r="R674" i="26"/>
  <c r="Q674" i="26"/>
  <c r="P674" i="26"/>
  <c r="P673" i="26" s="1"/>
  <c r="O674" i="26"/>
  <c r="N674" i="26"/>
  <c r="M674" i="26"/>
  <c r="L674" i="26"/>
  <c r="L673" i="26" s="1"/>
  <c r="K674" i="26"/>
  <c r="J674" i="26"/>
  <c r="I674" i="26"/>
  <c r="H674" i="26"/>
  <c r="H673" i="26" s="1"/>
  <c r="G674" i="26"/>
  <c r="G673" i="26" s="1"/>
  <c r="F674" i="26"/>
  <c r="V673" i="26"/>
  <c r="U673" i="26"/>
  <c r="S673" i="26"/>
  <c r="R673" i="26"/>
  <c r="Q673" i="26"/>
  <c r="O673" i="26"/>
  <c r="N673" i="26"/>
  <c r="M673" i="26"/>
  <c r="K673" i="26"/>
  <c r="J673" i="26"/>
  <c r="I673" i="26"/>
  <c r="Y672" i="26"/>
  <c r="X672" i="26"/>
  <c r="W672" i="26"/>
  <c r="Y671" i="26"/>
  <c r="X671" i="26"/>
  <c r="W671" i="26"/>
  <c r="Y670" i="26"/>
  <c r="X670" i="26"/>
  <c r="W670" i="26"/>
  <c r="Y669" i="26"/>
  <c r="X669" i="26"/>
  <c r="W669" i="26"/>
  <c r="Y668" i="26"/>
  <c r="X668" i="26"/>
  <c r="W668" i="26"/>
  <c r="Y667" i="26"/>
  <c r="X667" i="26"/>
  <c r="W667" i="26"/>
  <c r="Y666" i="26"/>
  <c r="X666" i="26"/>
  <c r="W666" i="26"/>
  <c r="Y665" i="26"/>
  <c r="X665" i="26"/>
  <c r="W665" i="26"/>
  <c r="Y664" i="26"/>
  <c r="X664" i="26"/>
  <c r="W664" i="26"/>
  <c r="V663" i="26"/>
  <c r="U663" i="26"/>
  <c r="T663" i="26"/>
  <c r="S663" i="26"/>
  <c r="R663" i="26"/>
  <c r="Q663" i="26"/>
  <c r="P663" i="26"/>
  <c r="O663" i="26"/>
  <c r="N663" i="26"/>
  <c r="M663" i="26"/>
  <c r="L663" i="26"/>
  <c r="K663" i="26"/>
  <c r="J663" i="26"/>
  <c r="I663" i="26"/>
  <c r="H663" i="26"/>
  <c r="G663" i="26"/>
  <c r="F663" i="26"/>
  <c r="X661" i="26"/>
  <c r="W661" i="26"/>
  <c r="R661" i="26"/>
  <c r="Y661" i="26" s="1"/>
  <c r="X660" i="26"/>
  <c r="W660" i="26"/>
  <c r="R660" i="26"/>
  <c r="Y660" i="26" s="1"/>
  <c r="X659" i="26"/>
  <c r="W659" i="26"/>
  <c r="R659" i="26"/>
  <c r="Y659" i="26" s="1"/>
  <c r="X658" i="26"/>
  <c r="W658" i="26"/>
  <c r="R658" i="26"/>
  <c r="Y658" i="26" s="1"/>
  <c r="X657" i="26"/>
  <c r="W657" i="26"/>
  <c r="R657" i="26"/>
  <c r="Y657" i="26" s="1"/>
  <c r="Y656" i="26"/>
  <c r="X656" i="26"/>
  <c r="W656" i="26"/>
  <c r="Y655" i="26"/>
  <c r="X655" i="26"/>
  <c r="W655" i="26"/>
  <c r="Y654" i="26"/>
  <c r="X654" i="26"/>
  <c r="W654" i="26"/>
  <c r="Y653" i="26"/>
  <c r="X653" i="26"/>
  <c r="W653" i="26"/>
  <c r="Y652" i="26"/>
  <c r="X652" i="26"/>
  <c r="W652" i="26"/>
  <c r="Y651" i="26"/>
  <c r="X651" i="26"/>
  <c r="W651" i="26"/>
  <c r="Y650" i="26"/>
  <c r="X650" i="26"/>
  <c r="W650" i="26"/>
  <c r="Y649" i="26"/>
  <c r="X649" i="26"/>
  <c r="W649" i="26"/>
  <c r="Y648" i="26"/>
  <c r="X648" i="26"/>
  <c r="W648" i="26"/>
  <c r="Y647" i="26"/>
  <c r="X647" i="26"/>
  <c r="W647" i="26"/>
  <c r="Y646" i="26"/>
  <c r="X646" i="26"/>
  <c r="W646" i="26"/>
  <c r="V645" i="26"/>
  <c r="U645" i="26"/>
  <c r="T645" i="26"/>
  <c r="S645" i="26"/>
  <c r="R645" i="26"/>
  <c r="Q645" i="26"/>
  <c r="P645" i="26"/>
  <c r="O645" i="26"/>
  <c r="N645" i="26"/>
  <c r="M645" i="26"/>
  <c r="L645" i="26"/>
  <c r="K645" i="26"/>
  <c r="J645" i="26"/>
  <c r="I645" i="26"/>
  <c r="H645" i="26"/>
  <c r="G645" i="26"/>
  <c r="F645" i="26"/>
  <c r="Y644" i="26"/>
  <c r="Y643" i="26" s="1"/>
  <c r="X644" i="26"/>
  <c r="W644" i="26"/>
  <c r="W643" i="26" s="1"/>
  <c r="X643" i="26"/>
  <c r="V643" i="26"/>
  <c r="U643" i="26"/>
  <c r="T643" i="26"/>
  <c r="S643" i="26"/>
  <c r="R643" i="26"/>
  <c r="Q643" i="26"/>
  <c r="P643" i="26"/>
  <c r="O643" i="26"/>
  <c r="N643" i="26"/>
  <c r="M643" i="26"/>
  <c r="L643" i="26"/>
  <c r="K643" i="26"/>
  <c r="J643" i="26"/>
  <c r="I643" i="26"/>
  <c r="H643" i="26"/>
  <c r="G643" i="26"/>
  <c r="F643" i="26"/>
  <c r="Y642" i="26"/>
  <c r="X642" i="26"/>
  <c r="W642" i="26"/>
  <c r="Y641" i="26"/>
  <c r="X641" i="26"/>
  <c r="W641" i="26"/>
  <c r="Y640" i="26"/>
  <c r="Y639" i="26" s="1"/>
  <c r="X640" i="26"/>
  <c r="W640" i="26"/>
  <c r="V639" i="26"/>
  <c r="U639" i="26"/>
  <c r="T639" i="26"/>
  <c r="S639" i="26"/>
  <c r="R639" i="26"/>
  <c r="Q639" i="26"/>
  <c r="P639" i="26"/>
  <c r="O639" i="26"/>
  <c r="N639" i="26"/>
  <c r="M639" i="26"/>
  <c r="L639" i="26"/>
  <c r="K639" i="26"/>
  <c r="J639" i="26"/>
  <c r="I639" i="26"/>
  <c r="H639" i="26"/>
  <c r="G639" i="26"/>
  <c r="F639" i="26"/>
  <c r="Y638" i="26"/>
  <c r="X638" i="26"/>
  <c r="W638" i="26"/>
  <c r="Y637" i="26"/>
  <c r="X637" i="26"/>
  <c r="W637" i="26"/>
  <c r="Y636" i="26"/>
  <c r="X636" i="26"/>
  <c r="W636" i="26"/>
  <c r="Y635" i="26"/>
  <c r="X635" i="26"/>
  <c r="W635" i="26"/>
  <c r="Y634" i="26"/>
  <c r="X634" i="26"/>
  <c r="W634" i="26"/>
  <c r="Y633" i="26"/>
  <c r="X633" i="26"/>
  <c r="W633" i="26"/>
  <c r="V632" i="26"/>
  <c r="U632" i="26"/>
  <c r="T632" i="26"/>
  <c r="S632" i="26"/>
  <c r="R632" i="26"/>
  <c r="Q632" i="26"/>
  <c r="P632" i="26"/>
  <c r="O632" i="26"/>
  <c r="N632" i="26"/>
  <c r="M632" i="26"/>
  <c r="L632" i="26"/>
  <c r="K632" i="26"/>
  <c r="J632" i="26"/>
  <c r="I632" i="26"/>
  <c r="H632" i="26"/>
  <c r="G632" i="26"/>
  <c r="F632" i="26"/>
  <c r="Y631" i="26"/>
  <c r="X631" i="26"/>
  <c r="W631" i="26"/>
  <c r="Y630" i="26"/>
  <c r="X630" i="26"/>
  <c r="W630" i="26"/>
  <c r="Y629" i="26"/>
  <c r="X629" i="26"/>
  <c r="W629" i="26"/>
  <c r="Y628" i="26"/>
  <c r="X628" i="26"/>
  <c r="W628" i="26"/>
  <c r="Y627" i="26"/>
  <c r="X627" i="26"/>
  <c r="W627" i="26"/>
  <c r="Y626" i="26"/>
  <c r="X626" i="26"/>
  <c r="W626" i="26"/>
  <c r="Y625" i="26"/>
  <c r="X625" i="26"/>
  <c r="W625" i="26"/>
  <c r="Y624" i="26"/>
  <c r="X624" i="26"/>
  <c r="W624" i="26"/>
  <c r="Y623" i="26"/>
  <c r="X623" i="26"/>
  <c r="W623" i="26"/>
  <c r="Y622" i="26"/>
  <c r="X622" i="26"/>
  <c r="W622" i="26"/>
  <c r="Y621" i="26"/>
  <c r="X621" i="26"/>
  <c r="W621" i="26"/>
  <c r="Y620" i="26"/>
  <c r="X620" i="26"/>
  <c r="W620" i="26"/>
  <c r="Y619" i="26"/>
  <c r="X619" i="26"/>
  <c r="W619" i="26"/>
  <c r="Y618" i="26"/>
  <c r="X618" i="26"/>
  <c r="W618" i="26"/>
  <c r="Y617" i="26"/>
  <c r="J617" i="26"/>
  <c r="X617" i="26" s="1"/>
  <c r="Y616" i="26"/>
  <c r="X616" i="26"/>
  <c r="W616" i="26"/>
  <c r="Y615" i="26"/>
  <c r="X615" i="26"/>
  <c r="W615" i="26"/>
  <c r="J614" i="26"/>
  <c r="W614" i="26" s="1"/>
  <c r="J613" i="26"/>
  <c r="X613" i="26" s="1"/>
  <c r="Y612" i="26"/>
  <c r="X612" i="26"/>
  <c r="W612" i="26"/>
  <c r="V611" i="26"/>
  <c r="U611" i="26"/>
  <c r="T611" i="26"/>
  <c r="S611" i="26"/>
  <c r="R611" i="26"/>
  <c r="Q611" i="26"/>
  <c r="P611" i="26"/>
  <c r="P475" i="26" s="1"/>
  <c r="P474" i="26" s="1"/>
  <c r="O611" i="26"/>
  <c r="N611" i="26"/>
  <c r="M611" i="26"/>
  <c r="L611" i="26"/>
  <c r="L475" i="26" s="1"/>
  <c r="L474" i="26" s="1"/>
  <c r="K611" i="26"/>
  <c r="J611" i="26"/>
  <c r="I611" i="26"/>
  <c r="H611" i="26"/>
  <c r="H475" i="26" s="1"/>
  <c r="H474" i="26" s="1"/>
  <c r="G611" i="26"/>
  <c r="F611" i="26"/>
  <c r="Y610" i="26"/>
  <c r="X610" i="26"/>
  <c r="W610" i="26"/>
  <c r="Y609" i="26"/>
  <c r="X609" i="26"/>
  <c r="W609" i="26"/>
  <c r="Y608" i="26"/>
  <c r="X608" i="26"/>
  <c r="W608" i="26"/>
  <c r="V607" i="26"/>
  <c r="U607" i="26"/>
  <c r="T607" i="26"/>
  <c r="S607" i="26"/>
  <c r="R607" i="26"/>
  <c r="Q607" i="26"/>
  <c r="P607" i="26"/>
  <c r="O607" i="26"/>
  <c r="N607" i="26"/>
  <c r="M607" i="26"/>
  <c r="L607" i="26"/>
  <c r="K607" i="26"/>
  <c r="J607" i="26"/>
  <c r="I607" i="26"/>
  <c r="H607" i="26"/>
  <c r="G607" i="26"/>
  <c r="F607" i="26"/>
  <c r="Y606" i="26"/>
  <c r="X606" i="26"/>
  <c r="W606" i="26"/>
  <c r="Y605" i="26"/>
  <c r="X605" i="26"/>
  <c r="W605" i="26"/>
  <c r="Y604" i="26"/>
  <c r="X604" i="26"/>
  <c r="W604" i="26"/>
  <c r="Y603" i="26"/>
  <c r="X603" i="26"/>
  <c r="W603" i="26"/>
  <c r="Y602" i="26"/>
  <c r="X602" i="26"/>
  <c r="W602" i="26"/>
  <c r="Y601" i="26"/>
  <c r="X601" i="26"/>
  <c r="W601" i="26"/>
  <c r="Y600" i="26"/>
  <c r="X600" i="26"/>
  <c r="W600" i="26"/>
  <c r="Y599" i="26"/>
  <c r="X599" i="26"/>
  <c r="W599" i="26"/>
  <c r="Y598" i="26"/>
  <c r="X598" i="26"/>
  <c r="W598" i="26"/>
  <c r="Y597" i="26"/>
  <c r="X597" i="26"/>
  <c r="W597" i="26"/>
  <c r="Y596" i="26"/>
  <c r="X596" i="26"/>
  <c r="W596" i="26"/>
  <c r="Y595" i="26"/>
  <c r="X595" i="26"/>
  <c r="W595" i="26"/>
  <c r="Y594" i="26"/>
  <c r="X594" i="26"/>
  <c r="W594" i="26"/>
  <c r="Y593" i="26"/>
  <c r="X593" i="26"/>
  <c r="W593" i="26"/>
  <c r="Y592" i="26"/>
  <c r="X592" i="26"/>
  <c r="W592" i="26"/>
  <c r="Y591" i="26"/>
  <c r="X591" i="26"/>
  <c r="W591" i="26"/>
  <c r="Y590" i="26"/>
  <c r="X590" i="26"/>
  <c r="W590" i="26"/>
  <c r="Y589" i="26"/>
  <c r="X589" i="26"/>
  <c r="W589" i="26"/>
  <c r="Y588" i="26"/>
  <c r="X588" i="26"/>
  <c r="W588" i="26"/>
  <c r="Y587" i="26"/>
  <c r="X587" i="26"/>
  <c r="W587" i="26"/>
  <c r="Y586" i="26"/>
  <c r="X586" i="26"/>
  <c r="W586" i="26"/>
  <c r="Y585" i="26"/>
  <c r="X585" i="26"/>
  <c r="W585" i="26"/>
  <c r="Y584" i="26"/>
  <c r="X584" i="26"/>
  <c r="W584" i="26"/>
  <c r="Y583" i="26"/>
  <c r="X583" i="26"/>
  <c r="W583" i="26"/>
  <c r="Y582" i="26"/>
  <c r="X582" i="26"/>
  <c r="W582" i="26"/>
  <c r="Y581" i="26"/>
  <c r="X581" i="26"/>
  <c r="W581" i="26"/>
  <c r="Y580" i="26"/>
  <c r="X580" i="26"/>
  <c r="W580" i="26"/>
  <c r="Y579" i="26"/>
  <c r="X579" i="26"/>
  <c r="W579" i="26"/>
  <c r="Y578" i="26"/>
  <c r="X578" i="26"/>
  <c r="W578" i="26"/>
  <c r="Y577" i="26"/>
  <c r="X577" i="26"/>
  <c r="W577" i="26"/>
  <c r="Y576" i="26"/>
  <c r="X576" i="26"/>
  <c r="W576" i="26"/>
  <c r="Y575" i="26"/>
  <c r="X575" i="26"/>
  <c r="W575" i="26"/>
  <c r="Y574" i="26"/>
  <c r="X574" i="26"/>
  <c r="W574" i="26"/>
  <c r="Y573" i="26"/>
  <c r="X573" i="26"/>
  <c r="W573" i="26"/>
  <c r="Y572" i="26"/>
  <c r="X572" i="26"/>
  <c r="W572" i="26"/>
  <c r="Y571" i="26"/>
  <c r="X571" i="26"/>
  <c r="W571" i="26"/>
  <c r="Y570" i="26"/>
  <c r="X570" i="26"/>
  <c r="W570" i="26"/>
  <c r="Y569" i="26"/>
  <c r="X569" i="26"/>
  <c r="W569" i="26"/>
  <c r="Y568" i="26"/>
  <c r="X568" i="26"/>
  <c r="W568" i="26"/>
  <c r="Y567" i="26"/>
  <c r="X567" i="26"/>
  <c r="W567" i="26"/>
  <c r="Y566" i="26"/>
  <c r="X566" i="26"/>
  <c r="W566" i="26"/>
  <c r="Y565" i="26"/>
  <c r="X565" i="26"/>
  <c r="W565" i="26"/>
  <c r="Y564" i="26"/>
  <c r="X564" i="26"/>
  <c r="W564" i="26"/>
  <c r="Y563" i="26"/>
  <c r="X563" i="26"/>
  <c r="W563" i="26"/>
  <c r="Y562" i="26"/>
  <c r="X562" i="26"/>
  <c r="W562" i="26"/>
  <c r="Y561" i="26"/>
  <c r="X561" i="26"/>
  <c r="W561" i="26"/>
  <c r="Y560" i="26"/>
  <c r="W560" i="26"/>
  <c r="J560" i="26"/>
  <c r="X560" i="26" s="1"/>
  <c r="Y559" i="26"/>
  <c r="X559" i="26"/>
  <c r="W559" i="26"/>
  <c r="Y558" i="26"/>
  <c r="X558" i="26"/>
  <c r="W558" i="26"/>
  <c r="Y557" i="26"/>
  <c r="X557" i="26"/>
  <c r="W557" i="26"/>
  <c r="Y556" i="26"/>
  <c r="X556" i="26"/>
  <c r="W556" i="26"/>
  <c r="Y555" i="26"/>
  <c r="X555" i="26"/>
  <c r="W555" i="26"/>
  <c r="Y554" i="26"/>
  <c r="X554" i="26"/>
  <c r="W554" i="26"/>
  <c r="Y553" i="26"/>
  <c r="X553" i="26"/>
  <c r="W553" i="26"/>
  <c r="Y552" i="26"/>
  <c r="X552" i="26"/>
  <c r="W552" i="26"/>
  <c r="Y551" i="26"/>
  <c r="X551" i="26"/>
  <c r="W551" i="26"/>
  <c r="Y550" i="26"/>
  <c r="X550" i="26"/>
  <c r="W550" i="26"/>
  <c r="Y549" i="26"/>
  <c r="Y548" i="26" s="1"/>
  <c r="X549" i="26"/>
  <c r="W549" i="26"/>
  <c r="V548" i="26"/>
  <c r="U548" i="26"/>
  <c r="T548" i="26"/>
  <c r="S548" i="26"/>
  <c r="R548" i="26"/>
  <c r="Q548" i="26"/>
  <c r="P548" i="26"/>
  <c r="O548" i="26"/>
  <c r="N548" i="26"/>
  <c r="M548" i="26"/>
  <c r="L548" i="26"/>
  <c r="K548" i="26"/>
  <c r="J548" i="26"/>
  <c r="I548" i="26"/>
  <c r="H548" i="26"/>
  <c r="G548" i="26"/>
  <c r="F548" i="26"/>
  <c r="Y547" i="26"/>
  <c r="X547" i="26"/>
  <c r="W547" i="26"/>
  <c r="Y546" i="26"/>
  <c r="X546" i="26"/>
  <c r="W546" i="26"/>
  <c r="Y545" i="26"/>
  <c r="X545" i="26"/>
  <c r="W545" i="26"/>
  <c r="Y544" i="26"/>
  <c r="X544" i="26"/>
  <c r="W544" i="26"/>
  <c r="Y543" i="26"/>
  <c r="X543" i="26"/>
  <c r="W543" i="26"/>
  <c r="Y542" i="26"/>
  <c r="J542" i="26"/>
  <c r="X542" i="26" s="1"/>
  <c r="Y541" i="26"/>
  <c r="X541" i="26"/>
  <c r="W541" i="26"/>
  <c r="Y540" i="26"/>
  <c r="X540" i="26"/>
  <c r="W540" i="26"/>
  <c r="Y539" i="26"/>
  <c r="X539" i="26"/>
  <c r="W539" i="26"/>
  <c r="Y538" i="26"/>
  <c r="X538" i="26"/>
  <c r="W538" i="26"/>
  <c r="Y537" i="26"/>
  <c r="X537" i="26"/>
  <c r="W537" i="26"/>
  <c r="Y536" i="26"/>
  <c r="X536" i="26"/>
  <c r="W536" i="26"/>
  <c r="Y535" i="26"/>
  <c r="X535" i="26"/>
  <c r="W535" i="26"/>
  <c r="Y534" i="26"/>
  <c r="X534" i="26"/>
  <c r="W534" i="26"/>
  <c r="Y533" i="26"/>
  <c r="X533" i="26"/>
  <c r="W533" i="26"/>
  <c r="Y532" i="26"/>
  <c r="X532" i="26"/>
  <c r="W532" i="26"/>
  <c r="Y531" i="26"/>
  <c r="X531" i="26"/>
  <c r="W531" i="26"/>
  <c r="Y530" i="26"/>
  <c r="X530" i="26"/>
  <c r="W530" i="26"/>
  <c r="Y529" i="26"/>
  <c r="X529" i="26"/>
  <c r="W529" i="26"/>
  <c r="Y528" i="26"/>
  <c r="X528" i="26"/>
  <c r="W528" i="26"/>
  <c r="Y527" i="26"/>
  <c r="X527" i="26"/>
  <c r="W527" i="26"/>
  <c r="Y526" i="26"/>
  <c r="X526" i="26"/>
  <c r="W526" i="26"/>
  <c r="Y525" i="26"/>
  <c r="X525" i="26"/>
  <c r="W525" i="26"/>
  <c r="Y524" i="26"/>
  <c r="X524" i="26"/>
  <c r="W524" i="26"/>
  <c r="Y523" i="26"/>
  <c r="X523" i="26"/>
  <c r="W523" i="26"/>
  <c r="Y522" i="26"/>
  <c r="X522" i="26"/>
  <c r="W522" i="26"/>
  <c r="Y521" i="26"/>
  <c r="X521" i="26"/>
  <c r="W521" i="26"/>
  <c r="Y520" i="26"/>
  <c r="X520" i="26"/>
  <c r="W520" i="26"/>
  <c r="Y519" i="26"/>
  <c r="X519" i="26"/>
  <c r="W519" i="26"/>
  <c r="Y518" i="26"/>
  <c r="X518" i="26"/>
  <c r="W518" i="26"/>
  <c r="Y517" i="26"/>
  <c r="X517" i="26"/>
  <c r="W517" i="26"/>
  <c r="Y516" i="26"/>
  <c r="X516" i="26"/>
  <c r="W516" i="26"/>
  <c r="Y515" i="26"/>
  <c r="X515" i="26"/>
  <c r="W515" i="26"/>
  <c r="Y514" i="26"/>
  <c r="X514" i="26"/>
  <c r="W514" i="26"/>
  <c r="Y513" i="26"/>
  <c r="X513" i="26"/>
  <c r="W513" i="26"/>
  <c r="Y512" i="26"/>
  <c r="X512" i="26"/>
  <c r="W512" i="26"/>
  <c r="Y511" i="26"/>
  <c r="X511" i="26"/>
  <c r="W511" i="26"/>
  <c r="Y510" i="26"/>
  <c r="X510" i="26"/>
  <c r="W510" i="26"/>
  <c r="Y509" i="26"/>
  <c r="X509" i="26"/>
  <c r="W509" i="26"/>
  <c r="Y508" i="26"/>
  <c r="X508" i="26"/>
  <c r="W508" i="26"/>
  <c r="Y507" i="26"/>
  <c r="X507" i="26"/>
  <c r="W507" i="26"/>
  <c r="Y506" i="26"/>
  <c r="X506" i="26"/>
  <c r="W506" i="26"/>
  <c r="Y505" i="26"/>
  <c r="X505" i="26"/>
  <c r="W505" i="26"/>
  <c r="Y504" i="26"/>
  <c r="X504" i="26"/>
  <c r="W504" i="26"/>
  <c r="Y503" i="26"/>
  <c r="X503" i="26"/>
  <c r="W503" i="26"/>
  <c r="Y502" i="26"/>
  <c r="X502" i="26"/>
  <c r="W502" i="26"/>
  <c r="Y501" i="26"/>
  <c r="X501" i="26"/>
  <c r="W501" i="26"/>
  <c r="Y500" i="26"/>
  <c r="X500" i="26"/>
  <c r="W500" i="26"/>
  <c r="Y499" i="26"/>
  <c r="X499" i="26"/>
  <c r="W499" i="26"/>
  <c r="Y498" i="26"/>
  <c r="X498" i="26"/>
  <c r="W498" i="26"/>
  <c r="Y497" i="26"/>
  <c r="X497" i="26"/>
  <c r="W497" i="26"/>
  <c r="Y496" i="26"/>
  <c r="X496" i="26"/>
  <c r="W496" i="26"/>
  <c r="Y495" i="26"/>
  <c r="X495" i="26"/>
  <c r="W495" i="26"/>
  <c r="Y494" i="26"/>
  <c r="X494" i="26"/>
  <c r="W494" i="26"/>
  <c r="Y493" i="26"/>
  <c r="X493" i="26"/>
  <c r="W493" i="26"/>
  <c r="Y492" i="26"/>
  <c r="X492" i="26"/>
  <c r="W492" i="26"/>
  <c r="Y491" i="26"/>
  <c r="X491" i="26"/>
  <c r="W491" i="26"/>
  <c r="Y490" i="26"/>
  <c r="X490" i="26"/>
  <c r="W490" i="26"/>
  <c r="Y489" i="26"/>
  <c r="X489" i="26"/>
  <c r="W489" i="26"/>
  <c r="Y488" i="26"/>
  <c r="X488" i="26"/>
  <c r="W488" i="26"/>
  <c r="Y487" i="26"/>
  <c r="X487" i="26"/>
  <c r="W487" i="26"/>
  <c r="Y486" i="26"/>
  <c r="X486" i="26"/>
  <c r="W486" i="26"/>
  <c r="Y485" i="26"/>
  <c r="X485" i="26"/>
  <c r="W485" i="26"/>
  <c r="Y484" i="26"/>
  <c r="X484" i="26"/>
  <c r="W484" i="26"/>
  <c r="Y483" i="26"/>
  <c r="X483" i="26"/>
  <c r="W483" i="26"/>
  <c r="Y482" i="26"/>
  <c r="X482" i="26"/>
  <c r="Y481" i="26"/>
  <c r="X481" i="26"/>
  <c r="W481" i="26"/>
  <c r="Y480" i="26"/>
  <c r="X480" i="26"/>
  <c r="W480" i="26"/>
  <c r="Y479" i="26"/>
  <c r="X479" i="26"/>
  <c r="W479" i="26"/>
  <c r="Y478" i="26"/>
  <c r="X478" i="26"/>
  <c r="W478" i="26"/>
  <c r="V477" i="26"/>
  <c r="U477" i="26"/>
  <c r="T477" i="26"/>
  <c r="S477" i="26"/>
  <c r="R477" i="26"/>
  <c r="Q477" i="26"/>
  <c r="P477" i="26"/>
  <c r="O477" i="26"/>
  <c r="N477" i="26"/>
  <c r="M477" i="26"/>
  <c r="L477" i="26"/>
  <c r="K477" i="26"/>
  <c r="J477" i="26"/>
  <c r="I477" i="26"/>
  <c r="H477" i="26"/>
  <c r="G477" i="26"/>
  <c r="F477" i="26"/>
  <c r="X476" i="26"/>
  <c r="W476" i="26"/>
  <c r="R476" i="26"/>
  <c r="Y476" i="26" s="1"/>
  <c r="T475" i="26"/>
  <c r="T474" i="26" s="1"/>
  <c r="Y472" i="26"/>
  <c r="X472" i="26"/>
  <c r="W472" i="26"/>
  <c r="Y471" i="26"/>
  <c r="X471" i="26"/>
  <c r="W471" i="26"/>
  <c r="X470" i="26"/>
  <c r="W470" i="26"/>
  <c r="R470" i="26"/>
  <c r="Y470" i="26" s="1"/>
  <c r="X469" i="26"/>
  <c r="W469" i="26"/>
  <c r="R469" i="26"/>
  <c r="Y469" i="26" s="1"/>
  <c r="V468" i="26"/>
  <c r="U468" i="26"/>
  <c r="T468" i="26"/>
  <c r="S468" i="26"/>
  <c r="R468" i="26"/>
  <c r="Q468" i="26"/>
  <c r="P468" i="26"/>
  <c r="O468" i="26"/>
  <c r="N468" i="26"/>
  <c r="M468" i="26"/>
  <c r="L468" i="26"/>
  <c r="K468" i="26"/>
  <c r="J468" i="26"/>
  <c r="I468" i="26"/>
  <c r="H468" i="26"/>
  <c r="G468" i="26"/>
  <c r="F468" i="26"/>
  <c r="X467" i="26"/>
  <c r="X466" i="26" s="1"/>
  <c r="W467" i="26"/>
  <c r="L467" i="26"/>
  <c r="Y467" i="26" s="1"/>
  <c r="Y466" i="26" s="1"/>
  <c r="W466" i="26"/>
  <c r="V466" i="26"/>
  <c r="U466" i="26"/>
  <c r="T466" i="26"/>
  <c r="S466" i="26"/>
  <c r="R466" i="26"/>
  <c r="Q466" i="26"/>
  <c r="P466" i="26"/>
  <c r="O466" i="26"/>
  <c r="N466" i="26"/>
  <c r="M466" i="26"/>
  <c r="L466" i="26"/>
  <c r="K466" i="26"/>
  <c r="J466" i="26"/>
  <c r="I466" i="26"/>
  <c r="H466" i="26"/>
  <c r="G466" i="26"/>
  <c r="G461" i="26" s="1"/>
  <c r="F466" i="26"/>
  <c r="Y465" i="26"/>
  <c r="W465" i="26"/>
  <c r="W462" i="26" s="1"/>
  <c r="T465" i="26"/>
  <c r="X465" i="26" s="1"/>
  <c r="Y464" i="26"/>
  <c r="W464" i="26"/>
  <c r="T464" i="26"/>
  <c r="Y463" i="26"/>
  <c r="X463" i="26"/>
  <c r="W463" i="26"/>
  <c r="Y462" i="26"/>
  <c r="V462" i="26"/>
  <c r="U462" i="26"/>
  <c r="S462" i="26"/>
  <c r="R462" i="26"/>
  <c r="Q462" i="26"/>
  <c r="Q461" i="26" s="1"/>
  <c r="P462" i="26"/>
  <c r="O462" i="26"/>
  <c r="N462" i="26"/>
  <c r="M462" i="26"/>
  <c r="M461" i="26" s="1"/>
  <c r="L462" i="26"/>
  <c r="K462" i="26"/>
  <c r="J462" i="26"/>
  <c r="I462" i="26"/>
  <c r="H462" i="26"/>
  <c r="G462" i="26"/>
  <c r="F462" i="26"/>
  <c r="V461" i="26"/>
  <c r="U461" i="26"/>
  <c r="I461" i="26"/>
  <c r="X460" i="26"/>
  <c r="W460" i="26"/>
  <c r="R460" i="26"/>
  <c r="Y460" i="26" s="1"/>
  <c r="W459" i="26"/>
  <c r="L459" i="26"/>
  <c r="P459" i="26" s="1"/>
  <c r="W458" i="26"/>
  <c r="L458" i="26"/>
  <c r="P458" i="26" s="1"/>
  <c r="W457" i="26"/>
  <c r="L457" i="26"/>
  <c r="P457" i="26" s="1"/>
  <c r="W456" i="26"/>
  <c r="L456" i="26"/>
  <c r="P456" i="26" s="1"/>
  <c r="W455" i="26"/>
  <c r="L455" i="26"/>
  <c r="P455" i="26" s="1"/>
  <c r="W454" i="26"/>
  <c r="L454" i="26"/>
  <c r="P454" i="26" s="1"/>
  <c r="W453" i="26"/>
  <c r="L453" i="26"/>
  <c r="P453" i="26" s="1"/>
  <c r="W452" i="26"/>
  <c r="P452" i="26"/>
  <c r="L452" i="26"/>
  <c r="W451" i="26"/>
  <c r="L451" i="26"/>
  <c r="P451" i="26" s="1"/>
  <c r="W450" i="26"/>
  <c r="L450" i="26"/>
  <c r="P450" i="26" s="1"/>
  <c r="W449" i="26"/>
  <c r="L449" i="26"/>
  <c r="P449" i="26" s="1"/>
  <c r="W448" i="26"/>
  <c r="L448" i="26"/>
  <c r="P448" i="26" s="1"/>
  <c r="W447" i="26"/>
  <c r="L447" i="26"/>
  <c r="P447" i="26" s="1"/>
  <c r="W446" i="26"/>
  <c r="L446" i="26"/>
  <c r="P446" i="26" s="1"/>
  <c r="Y445" i="26"/>
  <c r="X445" i="26"/>
  <c r="V445" i="26"/>
  <c r="V428" i="26" s="1"/>
  <c r="U445" i="26"/>
  <c r="T445" i="26"/>
  <c r="S445" i="26"/>
  <c r="R445" i="26"/>
  <c r="Q445" i="26"/>
  <c r="O445" i="26"/>
  <c r="N445" i="26"/>
  <c r="M445" i="26"/>
  <c r="K445" i="26"/>
  <c r="X444" i="26"/>
  <c r="W444" i="26"/>
  <c r="R444" i="26"/>
  <c r="Y444" i="26" s="1"/>
  <c r="Y443" i="26"/>
  <c r="X443" i="26"/>
  <c r="W443" i="26"/>
  <c r="Y442" i="26"/>
  <c r="X442" i="26"/>
  <c r="W442" i="26"/>
  <c r="Y441" i="26"/>
  <c r="X441" i="26"/>
  <c r="W441" i="26"/>
  <c r="Y440" i="26"/>
  <c r="X440" i="26"/>
  <c r="W440" i="26"/>
  <c r="Y439" i="26"/>
  <c r="X439" i="26"/>
  <c r="W439" i="26"/>
  <c r="Y438" i="26"/>
  <c r="Y437" i="26" s="1"/>
  <c r="X438" i="26"/>
  <c r="W438" i="26"/>
  <c r="V437" i="26"/>
  <c r="U437" i="26"/>
  <c r="T437" i="26"/>
  <c r="S437" i="26"/>
  <c r="R437" i="26"/>
  <c r="Q437" i="26"/>
  <c r="P437" i="26"/>
  <c r="O437" i="26"/>
  <c r="N437" i="26"/>
  <c r="M437" i="26"/>
  <c r="L437" i="26"/>
  <c r="K437" i="26"/>
  <c r="J437" i="26"/>
  <c r="I437" i="26"/>
  <c r="H437" i="26"/>
  <c r="G437" i="26"/>
  <c r="F437" i="26"/>
  <c r="Y436" i="26"/>
  <c r="X436" i="26"/>
  <c r="W436" i="26"/>
  <c r="Y435" i="26"/>
  <c r="X435" i="26"/>
  <c r="W435" i="26"/>
  <c r="V434" i="26"/>
  <c r="U434" i="26"/>
  <c r="T434" i="26"/>
  <c r="S434" i="26"/>
  <c r="R434" i="26"/>
  <c r="Q434" i="26"/>
  <c r="P434" i="26"/>
  <c r="O434" i="26"/>
  <c r="N434" i="26"/>
  <c r="M434" i="26"/>
  <c r="L434" i="26"/>
  <c r="K434" i="26"/>
  <c r="J434" i="26"/>
  <c r="I434" i="26"/>
  <c r="H434" i="26"/>
  <c r="G434" i="26"/>
  <c r="F434" i="26"/>
  <c r="Y433" i="26"/>
  <c r="X433" i="26"/>
  <c r="W433" i="26"/>
  <c r="Y432" i="26"/>
  <c r="X432" i="26"/>
  <c r="W432" i="26"/>
  <c r="W429" i="26" s="1"/>
  <c r="Y431" i="26"/>
  <c r="X431" i="26"/>
  <c r="W431" i="26"/>
  <c r="Y430" i="26"/>
  <c r="Y429" i="26" s="1"/>
  <c r="W430" i="26"/>
  <c r="T430" i="26"/>
  <c r="V429" i="26"/>
  <c r="U429" i="26"/>
  <c r="U428" i="26" s="1"/>
  <c r="S429" i="26"/>
  <c r="S428" i="26" s="1"/>
  <c r="R429" i="26"/>
  <c r="Q429" i="26"/>
  <c r="P429" i="26"/>
  <c r="O429" i="26"/>
  <c r="N429" i="26"/>
  <c r="M429" i="26"/>
  <c r="L429" i="26"/>
  <c r="K429" i="26"/>
  <c r="K428" i="26" s="1"/>
  <c r="J429" i="26"/>
  <c r="I429" i="26"/>
  <c r="H429" i="26"/>
  <c r="H428" i="26" s="1"/>
  <c r="G429" i="26"/>
  <c r="G428" i="26" s="1"/>
  <c r="F429" i="26"/>
  <c r="O428" i="26"/>
  <c r="X409" i="26"/>
  <c r="W409" i="26"/>
  <c r="W408" i="26" s="1"/>
  <c r="R409" i="26"/>
  <c r="R408" i="26" s="1"/>
  <c r="K409" i="26"/>
  <c r="K408" i="26" s="1"/>
  <c r="X408" i="26"/>
  <c r="V408" i="26"/>
  <c r="U408" i="26"/>
  <c r="T408" i="26"/>
  <c r="S408" i="26"/>
  <c r="Q408" i="26"/>
  <c r="P408" i="26"/>
  <c r="O408" i="26"/>
  <c r="N408" i="26"/>
  <c r="M408" i="26"/>
  <c r="L408" i="26"/>
  <c r="J408" i="26"/>
  <c r="I408" i="26"/>
  <c r="H408" i="26"/>
  <c r="G408" i="26"/>
  <c r="F408" i="26"/>
  <c r="X407" i="26"/>
  <c r="W407" i="26"/>
  <c r="R407" i="26"/>
  <c r="Y407" i="26" s="1"/>
  <c r="X406" i="26"/>
  <c r="W406" i="26"/>
  <c r="R406" i="26"/>
  <c r="Y406" i="26" s="1"/>
  <c r="X405" i="26"/>
  <c r="W405" i="26"/>
  <c r="R405" i="26"/>
  <c r="Y405" i="26" s="1"/>
  <c r="X404" i="26"/>
  <c r="W404" i="26"/>
  <c r="R404" i="26"/>
  <c r="X403" i="26"/>
  <c r="W403" i="26"/>
  <c r="R403" i="26"/>
  <c r="Y403" i="26" s="1"/>
  <c r="X402" i="26"/>
  <c r="W402" i="26"/>
  <c r="R402" i="26"/>
  <c r="Y402" i="26" s="1"/>
  <c r="V401" i="26"/>
  <c r="U401" i="26"/>
  <c r="T401" i="26"/>
  <c r="S401" i="26"/>
  <c r="Q401" i="26"/>
  <c r="P401" i="26"/>
  <c r="P400" i="26" s="1"/>
  <c r="O401" i="26"/>
  <c r="O400" i="26" s="1"/>
  <c r="N401" i="26"/>
  <c r="M401" i="26"/>
  <c r="M400" i="26" s="1"/>
  <c r="L401" i="26"/>
  <c r="L400" i="26" s="1"/>
  <c r="K401" i="26"/>
  <c r="J401" i="26"/>
  <c r="I401" i="26"/>
  <c r="H401" i="26"/>
  <c r="H400" i="26" s="1"/>
  <c r="G401" i="26"/>
  <c r="G400" i="26" s="1"/>
  <c r="F401" i="26"/>
  <c r="V400" i="26"/>
  <c r="U400" i="26"/>
  <c r="T400" i="26"/>
  <c r="S400" i="26"/>
  <c r="Q400" i="26"/>
  <c r="N400" i="26"/>
  <c r="K400" i="26"/>
  <c r="J400" i="26"/>
  <c r="I400" i="26"/>
  <c r="F400" i="26"/>
  <c r="Y399" i="26"/>
  <c r="Y398" i="26" s="1"/>
  <c r="X399" i="26"/>
  <c r="X398" i="26" s="1"/>
  <c r="W399" i="26"/>
  <c r="W398" i="26" s="1"/>
  <c r="V398" i="26"/>
  <c r="U398" i="26"/>
  <c r="T398" i="26"/>
  <c r="S398" i="26"/>
  <c r="R398" i="26"/>
  <c r="Q398" i="26"/>
  <c r="P398" i="26"/>
  <c r="O398" i="26"/>
  <c r="N398" i="26"/>
  <c r="M398" i="26"/>
  <c r="L398" i="26"/>
  <c r="K398" i="26"/>
  <c r="J398" i="26"/>
  <c r="I398" i="26"/>
  <c r="H398" i="26"/>
  <c r="G398" i="26"/>
  <c r="F398" i="26"/>
  <c r="Y397" i="26"/>
  <c r="Y396" i="26" s="1"/>
  <c r="X397" i="26"/>
  <c r="W397" i="26"/>
  <c r="W396" i="26" s="1"/>
  <c r="X396" i="26"/>
  <c r="V396" i="26"/>
  <c r="U396" i="26"/>
  <c r="T396" i="26"/>
  <c r="S396" i="26"/>
  <c r="R396" i="26"/>
  <c r="Q396" i="26"/>
  <c r="P396" i="26"/>
  <c r="O396" i="26"/>
  <c r="N396" i="26"/>
  <c r="M396" i="26"/>
  <c r="L396" i="26"/>
  <c r="K396" i="26"/>
  <c r="J396" i="26"/>
  <c r="J395" i="26" s="1"/>
  <c r="J394" i="26" s="1"/>
  <c r="J347" i="26" s="1"/>
  <c r="I396" i="26"/>
  <c r="H396" i="26"/>
  <c r="G396" i="26"/>
  <c r="F396" i="26"/>
  <c r="Y393" i="26"/>
  <c r="Y392" i="26" s="1"/>
  <c r="X393" i="26"/>
  <c r="X392" i="26" s="1"/>
  <c r="W393" i="26"/>
  <c r="W392" i="26" s="1"/>
  <c r="V392" i="26"/>
  <c r="U392" i="26"/>
  <c r="T392" i="26"/>
  <c r="S392" i="26"/>
  <c r="R392" i="26"/>
  <c r="Q392" i="26"/>
  <c r="P392" i="26"/>
  <c r="O392" i="26"/>
  <c r="N392" i="26"/>
  <c r="M392" i="26"/>
  <c r="L392" i="26"/>
  <c r="K392" i="26"/>
  <c r="J392" i="26"/>
  <c r="I392" i="26"/>
  <c r="H392" i="26"/>
  <c r="G392" i="26"/>
  <c r="F392" i="26"/>
  <c r="Y391" i="26"/>
  <c r="W391" i="26"/>
  <c r="T391" i="26"/>
  <c r="X391" i="26" s="1"/>
  <c r="Y390" i="26"/>
  <c r="W390" i="26"/>
  <c r="T390" i="26"/>
  <c r="X390" i="26" s="1"/>
  <c r="Y389" i="26"/>
  <c r="S389" i="26"/>
  <c r="T389" i="26" s="1"/>
  <c r="V388" i="26"/>
  <c r="U388" i="26"/>
  <c r="R388" i="26"/>
  <c r="R386" i="26" s="1"/>
  <c r="Q388" i="26"/>
  <c r="P388" i="26"/>
  <c r="O388" i="26"/>
  <c r="O386" i="26" s="1"/>
  <c r="N388" i="26"/>
  <c r="N386" i="26" s="1"/>
  <c r="M388" i="26"/>
  <c r="L388" i="26"/>
  <c r="K388" i="26"/>
  <c r="K386" i="26" s="1"/>
  <c r="J388" i="26"/>
  <c r="J386" i="26" s="1"/>
  <c r="I388" i="26"/>
  <c r="H388" i="26"/>
  <c r="G388" i="26"/>
  <c r="F388" i="26"/>
  <c r="F386" i="26" s="1"/>
  <c r="Y387" i="26"/>
  <c r="X387" i="26"/>
  <c r="W387" i="26"/>
  <c r="V386" i="26"/>
  <c r="G386" i="26"/>
  <c r="X384" i="26"/>
  <c r="W384" i="26"/>
  <c r="R384" i="26"/>
  <c r="Y384" i="26" s="1"/>
  <c r="X383" i="26"/>
  <c r="W383" i="26"/>
  <c r="R383" i="26"/>
  <c r="Y383" i="26" s="1"/>
  <c r="Y382" i="26"/>
  <c r="Y380" i="26" s="1"/>
  <c r="X382" i="26"/>
  <c r="X380" i="26" s="1"/>
  <c r="W382" i="26"/>
  <c r="Y381" i="26"/>
  <c r="X381" i="26"/>
  <c r="W381" i="26"/>
  <c r="W380" i="26"/>
  <c r="V380" i="26"/>
  <c r="U380" i="26"/>
  <c r="T380" i="26"/>
  <c r="S380" i="26"/>
  <c r="R380" i="26"/>
  <c r="Q380" i="26"/>
  <c r="P380" i="26"/>
  <c r="O380" i="26"/>
  <c r="N380" i="26"/>
  <c r="M380" i="26"/>
  <c r="L380" i="26"/>
  <c r="K380" i="26"/>
  <c r="J380" i="26"/>
  <c r="I380" i="26"/>
  <c r="H380" i="26"/>
  <c r="G380" i="26"/>
  <c r="F380" i="26"/>
  <c r="Y379" i="26"/>
  <c r="W379" i="26"/>
  <c r="W377" i="26" s="1"/>
  <c r="T379" i="26"/>
  <c r="X379" i="26" s="1"/>
  <c r="X377" i="26" s="1"/>
  <c r="Y378" i="26"/>
  <c r="X378" i="26"/>
  <c r="W378" i="26"/>
  <c r="Y377" i="26"/>
  <c r="V377" i="26"/>
  <c r="U377" i="26"/>
  <c r="S377" i="26"/>
  <c r="S349" i="26" s="1"/>
  <c r="R377" i="26"/>
  <c r="Q377" i="26"/>
  <c r="P377" i="26"/>
  <c r="O377" i="26"/>
  <c r="N377" i="26"/>
  <c r="M377" i="26"/>
  <c r="L377" i="26"/>
  <c r="K377" i="26"/>
  <c r="K349" i="26" s="1"/>
  <c r="J377" i="26"/>
  <c r="I377" i="26"/>
  <c r="H377" i="26"/>
  <c r="G377" i="26"/>
  <c r="F377" i="26"/>
  <c r="Y376" i="26"/>
  <c r="W376" i="26"/>
  <c r="T376" i="26"/>
  <c r="X376" i="26" s="1"/>
  <c r="Y375" i="26"/>
  <c r="X375" i="26"/>
  <c r="W375" i="26"/>
  <c r="Y374" i="26"/>
  <c r="Y372" i="26" s="1"/>
  <c r="W374" i="26"/>
  <c r="T374" i="26"/>
  <c r="X374" i="26" s="1"/>
  <c r="Y373" i="26"/>
  <c r="X373" i="26"/>
  <c r="W373" i="26"/>
  <c r="W372" i="26"/>
  <c r="V372" i="26"/>
  <c r="V349" i="26" s="1"/>
  <c r="U372" i="26"/>
  <c r="S372" i="26"/>
  <c r="R372" i="26"/>
  <c r="Q372" i="26"/>
  <c r="P372" i="26"/>
  <c r="O372" i="26"/>
  <c r="N372" i="26"/>
  <c r="M372" i="26"/>
  <c r="L372" i="26"/>
  <c r="K372" i="26"/>
  <c r="J372" i="26"/>
  <c r="I372" i="26"/>
  <c r="H372" i="26"/>
  <c r="G372" i="26"/>
  <c r="F372" i="26"/>
  <c r="Y371" i="26"/>
  <c r="W371" i="26"/>
  <c r="T371" i="26"/>
  <c r="X371" i="26" s="1"/>
  <c r="Y370" i="26"/>
  <c r="W370" i="26"/>
  <c r="T370" i="26"/>
  <c r="X370" i="26" s="1"/>
  <c r="Y369" i="26"/>
  <c r="X369" i="26"/>
  <c r="W369" i="26"/>
  <c r="Y368" i="26"/>
  <c r="W368" i="26"/>
  <c r="T368" i="26"/>
  <c r="X368" i="26" s="1"/>
  <c r="Y367" i="26"/>
  <c r="W367" i="26"/>
  <c r="T367" i="26"/>
  <c r="X367" i="26" s="1"/>
  <c r="Y366" i="26"/>
  <c r="X366" i="26"/>
  <c r="W366" i="26"/>
  <c r="Y365" i="26"/>
  <c r="W365" i="26"/>
  <c r="T365" i="26"/>
  <c r="X365" i="26" s="1"/>
  <c r="Y364" i="26"/>
  <c r="W364" i="26"/>
  <c r="T364" i="26"/>
  <c r="X364" i="26" s="1"/>
  <c r="Y363" i="26"/>
  <c r="W363" i="26"/>
  <c r="T363" i="26"/>
  <c r="X363" i="26" s="1"/>
  <c r="Y362" i="26"/>
  <c r="X362" i="26"/>
  <c r="W362" i="26"/>
  <c r="X361" i="26"/>
  <c r="W361" i="26"/>
  <c r="L361" i="26"/>
  <c r="Y361" i="26" s="1"/>
  <c r="Y360" i="26"/>
  <c r="W360" i="26"/>
  <c r="T360" i="26"/>
  <c r="X360" i="26" s="1"/>
  <c r="Y359" i="26"/>
  <c r="W359" i="26"/>
  <c r="T359" i="26"/>
  <c r="Y358" i="26"/>
  <c r="X358" i="26"/>
  <c r="W358" i="26"/>
  <c r="Y357" i="26"/>
  <c r="W357" i="26"/>
  <c r="T357" i="26"/>
  <c r="X357" i="26" s="1"/>
  <c r="Y356" i="26"/>
  <c r="W356" i="26"/>
  <c r="T356" i="26"/>
  <c r="X356" i="26" s="1"/>
  <c r="Y355" i="26"/>
  <c r="X355" i="26"/>
  <c r="W355" i="26"/>
  <c r="Y354" i="26"/>
  <c r="W354" i="26"/>
  <c r="T354" i="26"/>
  <c r="X354" i="26" s="1"/>
  <c r="Y353" i="26"/>
  <c r="X353" i="26"/>
  <c r="W353" i="26"/>
  <c r="Y352" i="26"/>
  <c r="W352" i="26"/>
  <c r="T352" i="26"/>
  <c r="X352" i="26" s="1"/>
  <c r="V350" i="26"/>
  <c r="U350" i="26"/>
  <c r="U349" i="26" s="1"/>
  <c r="S350" i="26"/>
  <c r="R350" i="26"/>
  <c r="R349" i="26" s="1"/>
  <c r="Q350" i="26"/>
  <c r="Q349" i="26" s="1"/>
  <c r="P350" i="26"/>
  <c r="O350" i="26"/>
  <c r="N350" i="26"/>
  <c r="N349" i="26" s="1"/>
  <c r="M350" i="26"/>
  <c r="M349" i="26" s="1"/>
  <c r="L350" i="26"/>
  <c r="K350" i="26"/>
  <c r="J350" i="26"/>
  <c r="J349" i="26" s="1"/>
  <c r="I350" i="26"/>
  <c r="I349" i="26" s="1"/>
  <c r="H350" i="26"/>
  <c r="G350" i="26"/>
  <c r="F350" i="26"/>
  <c r="F349" i="26" s="1"/>
  <c r="O349" i="26"/>
  <c r="G349" i="26"/>
  <c r="X348" i="26"/>
  <c r="W348" i="26"/>
  <c r="R348" i="26"/>
  <c r="Y348" i="26" s="1"/>
  <c r="X344" i="26"/>
  <c r="W344" i="26"/>
  <c r="R344" i="26"/>
  <c r="Y344" i="26" s="1"/>
  <c r="X343" i="26"/>
  <c r="W343" i="26"/>
  <c r="R343" i="26"/>
  <c r="Y343" i="26" s="1"/>
  <c r="X342" i="26"/>
  <c r="W342" i="26"/>
  <c r="R342" i="26"/>
  <c r="Y342" i="26" s="1"/>
  <c r="X341" i="26"/>
  <c r="W341" i="26"/>
  <c r="R341" i="26"/>
  <c r="Y341" i="26" s="1"/>
  <c r="X340" i="26"/>
  <c r="W340" i="26"/>
  <c r="R340" i="26"/>
  <c r="Y340" i="26" s="1"/>
  <c r="Y339" i="26"/>
  <c r="X339" i="26"/>
  <c r="W339" i="26"/>
  <c r="X338" i="26"/>
  <c r="W338" i="26"/>
  <c r="R338" i="26"/>
  <c r="Y338" i="26" s="1"/>
  <c r="X337" i="26"/>
  <c r="W337" i="26"/>
  <c r="R337" i="26"/>
  <c r="Y337" i="26" s="1"/>
  <c r="X336" i="26"/>
  <c r="W336" i="26"/>
  <c r="R336" i="26"/>
  <c r="Y336" i="26" s="1"/>
  <c r="X335" i="26"/>
  <c r="W335" i="26"/>
  <c r="R335" i="26"/>
  <c r="Y335" i="26" s="1"/>
  <c r="X334" i="26"/>
  <c r="W334" i="26"/>
  <c r="R334" i="26"/>
  <c r="Y334" i="26" s="1"/>
  <c r="X333" i="26"/>
  <c r="W333" i="26"/>
  <c r="R333" i="26"/>
  <c r="Y333" i="26" s="1"/>
  <c r="X332" i="26"/>
  <c r="W332" i="26"/>
  <c r="R332" i="26"/>
  <c r="Y332" i="26" s="1"/>
  <c r="X331" i="26"/>
  <c r="X330" i="26" s="1"/>
  <c r="W331" i="26"/>
  <c r="W330" i="26" s="1"/>
  <c r="R331" i="26"/>
  <c r="Y331" i="26" s="1"/>
  <c r="V330" i="26"/>
  <c r="U330" i="26"/>
  <c r="T330" i="26"/>
  <c r="S330" i="26"/>
  <c r="Q330" i="26"/>
  <c r="P330" i="26"/>
  <c r="O330" i="26"/>
  <c r="N330" i="26"/>
  <c r="M330" i="26"/>
  <c r="L330" i="26"/>
  <c r="K330" i="26"/>
  <c r="J330" i="26"/>
  <c r="I330" i="26"/>
  <c r="H330" i="26"/>
  <c r="G330" i="26"/>
  <c r="F330" i="26"/>
  <c r="X329" i="26"/>
  <c r="X328" i="26" s="1"/>
  <c r="W329" i="26"/>
  <c r="W328" i="26" s="1"/>
  <c r="R329" i="26"/>
  <c r="Y329" i="26" s="1"/>
  <c r="Y328" i="26" s="1"/>
  <c r="V328" i="26"/>
  <c r="U328" i="26"/>
  <c r="T328" i="26"/>
  <c r="S328" i="26"/>
  <c r="R328" i="26"/>
  <c r="Q328" i="26"/>
  <c r="P328" i="26"/>
  <c r="O328" i="26"/>
  <c r="N328" i="26"/>
  <c r="M328" i="26"/>
  <c r="L328" i="26"/>
  <c r="K328" i="26"/>
  <c r="J328" i="26"/>
  <c r="I328" i="26"/>
  <c r="H328" i="26"/>
  <c r="G328" i="26"/>
  <c r="F328" i="26"/>
  <c r="X327" i="26"/>
  <c r="W327" i="26"/>
  <c r="R327" i="26"/>
  <c r="Y327" i="26" s="1"/>
  <c r="X326" i="26"/>
  <c r="W326" i="26"/>
  <c r="R326" i="26"/>
  <c r="Y326" i="26" s="1"/>
  <c r="X325" i="26"/>
  <c r="W325" i="26"/>
  <c r="R325" i="26"/>
  <c r="Y325" i="26" s="1"/>
  <c r="X324" i="26"/>
  <c r="W324" i="26"/>
  <c r="R324" i="26"/>
  <c r="Y324" i="26" s="1"/>
  <c r="X323" i="26"/>
  <c r="W323" i="26"/>
  <c r="R323" i="26"/>
  <c r="Y323" i="26" s="1"/>
  <c r="X322" i="26"/>
  <c r="W322" i="26"/>
  <c r="R322" i="26"/>
  <c r="Y322" i="26" s="1"/>
  <c r="X321" i="26"/>
  <c r="W321" i="26"/>
  <c r="R321" i="26"/>
  <c r="Y321" i="26" s="1"/>
  <c r="X320" i="26"/>
  <c r="W320" i="26"/>
  <c r="R320" i="26"/>
  <c r="Y320" i="26" s="1"/>
  <c r="X319" i="26"/>
  <c r="W319" i="26"/>
  <c r="R319" i="26"/>
  <c r="Y319" i="26" s="1"/>
  <c r="X318" i="26"/>
  <c r="W318" i="26"/>
  <c r="R318" i="26"/>
  <c r="Y318" i="26" s="1"/>
  <c r="X317" i="26"/>
  <c r="W317" i="26"/>
  <c r="R317" i="26"/>
  <c r="Y317" i="26" s="1"/>
  <c r="X316" i="26"/>
  <c r="W316" i="26"/>
  <c r="R316" i="26"/>
  <c r="Y316" i="26" s="1"/>
  <c r="X315" i="26"/>
  <c r="W315" i="26"/>
  <c r="R315" i="26"/>
  <c r="Y315" i="26" s="1"/>
  <c r="X314" i="26"/>
  <c r="W314" i="26"/>
  <c r="R314" i="26"/>
  <c r="Y314" i="26" s="1"/>
  <c r="X313" i="26"/>
  <c r="W313" i="26"/>
  <c r="R313" i="26"/>
  <c r="Y313" i="26" s="1"/>
  <c r="X312" i="26"/>
  <c r="W312" i="26"/>
  <c r="R312" i="26"/>
  <c r="Y312" i="26" s="1"/>
  <c r="X311" i="26"/>
  <c r="W311" i="26"/>
  <c r="R311" i="26"/>
  <c r="Y311" i="26" s="1"/>
  <c r="X310" i="26"/>
  <c r="W310" i="26"/>
  <c r="R310" i="26"/>
  <c r="Y310" i="26" s="1"/>
  <c r="X309" i="26"/>
  <c r="W309" i="26"/>
  <c r="R309" i="26"/>
  <c r="Y309" i="26" s="1"/>
  <c r="V308" i="26"/>
  <c r="V306" i="26" s="1"/>
  <c r="U308" i="26"/>
  <c r="U306" i="26" s="1"/>
  <c r="U305" i="26" s="1"/>
  <c r="T308" i="26"/>
  <c r="T306" i="26" s="1"/>
  <c r="T305" i="26" s="1"/>
  <c r="S308" i="26"/>
  <c r="Q308" i="26"/>
  <c r="Q306" i="26" s="1"/>
  <c r="Q305" i="26" s="1"/>
  <c r="P308" i="26"/>
  <c r="O308" i="26"/>
  <c r="N308" i="26"/>
  <c r="N306" i="26" s="1"/>
  <c r="M308" i="26"/>
  <c r="M306" i="26" s="1"/>
  <c r="M305" i="26" s="1"/>
  <c r="L308" i="26"/>
  <c r="K308" i="26"/>
  <c r="K306" i="26" s="1"/>
  <c r="K305" i="26" s="1"/>
  <c r="J308" i="26"/>
  <c r="J306" i="26" s="1"/>
  <c r="I308" i="26"/>
  <c r="I306" i="26" s="1"/>
  <c r="I305" i="26" s="1"/>
  <c r="H308" i="26"/>
  <c r="G308" i="26"/>
  <c r="F308" i="26"/>
  <c r="F306" i="26" s="1"/>
  <c r="X307" i="26"/>
  <c r="W307" i="26"/>
  <c r="R307" i="26"/>
  <c r="Y307" i="26" s="1"/>
  <c r="S306" i="26"/>
  <c r="S305" i="26" s="1"/>
  <c r="P306" i="26"/>
  <c r="P305" i="26" s="1"/>
  <c r="O306" i="26"/>
  <c r="O305" i="26" s="1"/>
  <c r="L306" i="26"/>
  <c r="L305" i="26" s="1"/>
  <c r="H306" i="26"/>
  <c r="H305" i="26" s="1"/>
  <c r="G306" i="26"/>
  <c r="G305" i="26" s="1"/>
  <c r="X304" i="26"/>
  <c r="W304" i="26"/>
  <c r="R304" i="26"/>
  <c r="Y304" i="26" s="1"/>
  <c r="X303" i="26"/>
  <c r="W303" i="26"/>
  <c r="R303" i="26"/>
  <c r="Y303" i="26" s="1"/>
  <c r="X302" i="26"/>
  <c r="W302" i="26"/>
  <c r="R302" i="26"/>
  <c r="Y302" i="26" s="1"/>
  <c r="X301" i="26"/>
  <c r="W301" i="26"/>
  <c r="R301" i="26"/>
  <c r="Y301" i="26" s="1"/>
  <c r="X300" i="26"/>
  <c r="W300" i="26"/>
  <c r="R300" i="26"/>
  <c r="Y300" i="26" s="1"/>
  <c r="X299" i="26"/>
  <c r="W299" i="26"/>
  <c r="R299" i="26"/>
  <c r="Y299" i="26" s="1"/>
  <c r="X298" i="26"/>
  <c r="S298" i="26"/>
  <c r="W298" i="26" s="1"/>
  <c r="X297" i="26"/>
  <c r="W297" i="26"/>
  <c r="R297" i="26"/>
  <c r="Y297" i="26" s="1"/>
  <c r="X296" i="26"/>
  <c r="W296" i="26"/>
  <c r="R296" i="26"/>
  <c r="Y296" i="26" s="1"/>
  <c r="X295" i="26"/>
  <c r="W295" i="26"/>
  <c r="R295" i="26"/>
  <c r="Y295" i="26" s="1"/>
  <c r="X294" i="26"/>
  <c r="W294" i="26"/>
  <c r="R294" i="26"/>
  <c r="Y294" i="26" s="1"/>
  <c r="X293" i="26"/>
  <c r="W293" i="26"/>
  <c r="R293" i="26"/>
  <c r="Y293" i="26" s="1"/>
  <c r="V292" i="26"/>
  <c r="U292" i="26"/>
  <c r="T292" i="26"/>
  <c r="Q292" i="26"/>
  <c r="P292" i="26"/>
  <c r="O292" i="26"/>
  <c r="N292" i="26"/>
  <c r="M292" i="26"/>
  <c r="L292" i="26"/>
  <c r="K292" i="26"/>
  <c r="J292" i="26"/>
  <c r="I292" i="26"/>
  <c r="H292" i="26"/>
  <c r="G292" i="26"/>
  <c r="F292" i="26"/>
  <c r="X291" i="26"/>
  <c r="W291" i="26"/>
  <c r="R291" i="26"/>
  <c r="Y291" i="26" s="1"/>
  <c r="X290" i="26"/>
  <c r="W290" i="26"/>
  <c r="R290" i="26"/>
  <c r="Y290" i="26" s="1"/>
  <c r="X289" i="26"/>
  <c r="W289" i="26"/>
  <c r="R289" i="26"/>
  <c r="Y289" i="26" s="1"/>
  <c r="X288" i="26"/>
  <c r="W288" i="26"/>
  <c r="R288" i="26"/>
  <c r="Y288" i="26" s="1"/>
  <c r="X287" i="26"/>
  <c r="W287" i="26"/>
  <c r="R287" i="26"/>
  <c r="Y287" i="26" s="1"/>
  <c r="X286" i="26"/>
  <c r="W286" i="26"/>
  <c r="R286" i="26"/>
  <c r="Y286" i="26" s="1"/>
  <c r="X285" i="26"/>
  <c r="W285" i="26"/>
  <c r="R285" i="26"/>
  <c r="Y285" i="26" s="1"/>
  <c r="X284" i="26"/>
  <c r="W284" i="26"/>
  <c r="R284" i="26"/>
  <c r="Y284" i="26" s="1"/>
  <c r="X283" i="26"/>
  <c r="W283" i="26"/>
  <c r="R283" i="26"/>
  <c r="Y283" i="26" s="1"/>
  <c r="X282" i="26"/>
  <c r="X281" i="26" s="1"/>
  <c r="W282" i="26"/>
  <c r="W281" i="26" s="1"/>
  <c r="R282" i="26"/>
  <c r="V281" i="26"/>
  <c r="U281" i="26"/>
  <c r="T281" i="26"/>
  <c r="S281" i="26"/>
  <c r="Q281" i="26"/>
  <c r="Q280" i="26" s="1"/>
  <c r="P281" i="26"/>
  <c r="P280" i="26" s="1"/>
  <c r="O281" i="26"/>
  <c r="O280" i="26" s="1"/>
  <c r="N281" i="26"/>
  <c r="M281" i="26"/>
  <c r="M280" i="26" s="1"/>
  <c r="L281" i="26"/>
  <c r="L280" i="26" s="1"/>
  <c r="K281" i="26"/>
  <c r="K280" i="26" s="1"/>
  <c r="J281" i="26"/>
  <c r="I281" i="26"/>
  <c r="I280" i="26" s="1"/>
  <c r="H281" i="26"/>
  <c r="H280" i="26" s="1"/>
  <c r="G281" i="26"/>
  <c r="G280" i="26" s="1"/>
  <c r="F281" i="26"/>
  <c r="V280" i="26"/>
  <c r="X279" i="26"/>
  <c r="W279" i="26"/>
  <c r="R279" i="26"/>
  <c r="Y279" i="26" s="1"/>
  <c r="X278" i="26"/>
  <c r="W278" i="26"/>
  <c r="R278" i="26"/>
  <c r="Y278" i="26" s="1"/>
  <c r="Y277" i="26" s="1"/>
  <c r="Y276" i="26" s="1"/>
  <c r="X277" i="26"/>
  <c r="W277" i="26"/>
  <c r="V277" i="26"/>
  <c r="U277" i="26"/>
  <c r="T277" i="26"/>
  <c r="S277" i="26"/>
  <c r="Q277" i="26"/>
  <c r="P277" i="26"/>
  <c r="O277" i="26"/>
  <c r="N277" i="26"/>
  <c r="M277" i="26"/>
  <c r="L277" i="26"/>
  <c r="K277" i="26"/>
  <c r="J277" i="26"/>
  <c r="I277" i="26"/>
  <c r="H277" i="26"/>
  <c r="G277" i="26"/>
  <c r="F277" i="26"/>
  <c r="X276" i="26"/>
  <c r="W276" i="26"/>
  <c r="V276" i="26"/>
  <c r="U276" i="26"/>
  <c r="T276" i="26"/>
  <c r="S276" i="26"/>
  <c r="Q276" i="26"/>
  <c r="P276" i="26"/>
  <c r="O276" i="26"/>
  <c r="N276" i="26"/>
  <c r="M276" i="26"/>
  <c r="L276" i="26"/>
  <c r="K276" i="26"/>
  <c r="J276" i="26"/>
  <c r="I276" i="26"/>
  <c r="H276" i="26"/>
  <c r="G276" i="26"/>
  <c r="F276" i="26"/>
  <c r="X275" i="26"/>
  <c r="W275" i="26"/>
  <c r="R275" i="26"/>
  <c r="Y275" i="26" s="1"/>
  <c r="X274" i="26"/>
  <c r="W274" i="26"/>
  <c r="R274" i="26"/>
  <c r="Y274" i="26" s="1"/>
  <c r="X273" i="26"/>
  <c r="W273" i="26"/>
  <c r="R273" i="26"/>
  <c r="Y273" i="26" s="1"/>
  <c r="X272" i="26"/>
  <c r="W272" i="26"/>
  <c r="V272" i="26"/>
  <c r="U272" i="26"/>
  <c r="T272" i="26"/>
  <c r="S272" i="26"/>
  <c r="R272" i="26"/>
  <c r="Q272" i="26"/>
  <c r="P272" i="26"/>
  <c r="O272" i="26"/>
  <c r="N272" i="26"/>
  <c r="M272" i="26"/>
  <c r="L272" i="26"/>
  <c r="K272" i="26"/>
  <c r="J272" i="26"/>
  <c r="I272" i="26"/>
  <c r="H272" i="26"/>
  <c r="G272" i="26"/>
  <c r="F272" i="26"/>
  <c r="X271" i="26"/>
  <c r="W271" i="26"/>
  <c r="R271" i="26"/>
  <c r="Y271" i="26" s="1"/>
  <c r="X270" i="26"/>
  <c r="W270" i="26"/>
  <c r="R270" i="26"/>
  <c r="Y270" i="26" s="1"/>
  <c r="X269" i="26"/>
  <c r="W269" i="26"/>
  <c r="R269" i="26"/>
  <c r="Y269" i="26" s="1"/>
  <c r="X268" i="26"/>
  <c r="W268" i="26"/>
  <c r="R268" i="26"/>
  <c r="Y268" i="26" s="1"/>
  <c r="X267" i="26"/>
  <c r="W267" i="26"/>
  <c r="R267" i="26"/>
  <c r="Y267" i="26" s="1"/>
  <c r="X266" i="26"/>
  <c r="W266" i="26"/>
  <c r="R266" i="26"/>
  <c r="Y266" i="26" s="1"/>
  <c r="X265" i="26"/>
  <c r="W265" i="26"/>
  <c r="V265" i="26"/>
  <c r="U265" i="26"/>
  <c r="T265" i="26"/>
  <c r="S265" i="26"/>
  <c r="R265" i="26"/>
  <c r="Q265" i="26"/>
  <c r="P265" i="26"/>
  <c r="O265" i="26"/>
  <c r="N265" i="26"/>
  <c r="M265" i="26"/>
  <c r="L265" i="26"/>
  <c r="K265" i="26"/>
  <c r="J265" i="26"/>
  <c r="I265" i="26"/>
  <c r="H265" i="26"/>
  <c r="G265" i="26"/>
  <c r="F265" i="26"/>
  <c r="X264" i="26"/>
  <c r="W264" i="26"/>
  <c r="V264" i="26"/>
  <c r="U264" i="26"/>
  <c r="T264" i="26"/>
  <c r="S264" i="26"/>
  <c r="R264" i="26"/>
  <c r="Q264" i="26"/>
  <c r="P264" i="26"/>
  <c r="P263" i="26" s="1"/>
  <c r="O264" i="26"/>
  <c r="N264" i="26"/>
  <c r="M264" i="26"/>
  <c r="L264" i="26"/>
  <c r="L263" i="26" s="1"/>
  <c r="K264" i="26"/>
  <c r="J264" i="26"/>
  <c r="I264" i="26"/>
  <c r="H264" i="26"/>
  <c r="H263" i="26" s="1"/>
  <c r="G264" i="26"/>
  <c r="F264" i="26"/>
  <c r="X262" i="26"/>
  <c r="W262" i="26"/>
  <c r="R262" i="26"/>
  <c r="Y262" i="26" s="1"/>
  <c r="X261" i="26"/>
  <c r="W261" i="26"/>
  <c r="R261" i="26"/>
  <c r="Y261" i="26" s="1"/>
  <c r="X260" i="26"/>
  <c r="W260" i="26"/>
  <c r="R260" i="26"/>
  <c r="Y260" i="26" s="1"/>
  <c r="X259" i="26"/>
  <c r="W259" i="26"/>
  <c r="R259" i="26"/>
  <c r="Y259" i="26" s="1"/>
  <c r="X258" i="26"/>
  <c r="W258" i="26"/>
  <c r="R258" i="26"/>
  <c r="Y258" i="26" s="1"/>
  <c r="V257" i="26"/>
  <c r="U257" i="26"/>
  <c r="T257" i="26"/>
  <c r="S257" i="26"/>
  <c r="Q257" i="26"/>
  <c r="Q246" i="26" s="1"/>
  <c r="P257" i="26"/>
  <c r="O257" i="26"/>
  <c r="N257" i="26"/>
  <c r="M257" i="26"/>
  <c r="L257" i="26"/>
  <c r="K257" i="26"/>
  <c r="J257" i="26"/>
  <c r="I257" i="26"/>
  <c r="I246" i="26" s="1"/>
  <c r="H257" i="26"/>
  <c r="G257" i="26"/>
  <c r="F257" i="26"/>
  <c r="X256" i="26"/>
  <c r="W256" i="26"/>
  <c r="R256" i="26"/>
  <c r="Y256" i="26" s="1"/>
  <c r="X255" i="26"/>
  <c r="W255" i="26"/>
  <c r="R255" i="26"/>
  <c r="Y255" i="26" s="1"/>
  <c r="X254" i="26"/>
  <c r="W254" i="26"/>
  <c r="R254" i="26"/>
  <c r="Y254" i="26" s="1"/>
  <c r="X253" i="26"/>
  <c r="W253" i="26"/>
  <c r="R253" i="26"/>
  <c r="Y253" i="26" s="1"/>
  <c r="X252" i="26"/>
  <c r="W252" i="26"/>
  <c r="R252" i="26"/>
  <c r="Y252" i="26" s="1"/>
  <c r="X251" i="26"/>
  <c r="W251" i="26"/>
  <c r="R251" i="26"/>
  <c r="Y251" i="26" s="1"/>
  <c r="X250" i="26"/>
  <c r="W250" i="26"/>
  <c r="R250" i="26"/>
  <c r="Y250" i="26" s="1"/>
  <c r="X249" i="26"/>
  <c r="W249" i="26"/>
  <c r="R249" i="26"/>
  <c r="Y249" i="26" s="1"/>
  <c r="X248" i="26"/>
  <c r="W248" i="26"/>
  <c r="R248" i="26"/>
  <c r="Y248" i="26" s="1"/>
  <c r="V247" i="26"/>
  <c r="U247" i="26"/>
  <c r="U246" i="26" s="1"/>
  <c r="T247" i="26"/>
  <c r="S247" i="26"/>
  <c r="Q247" i="26"/>
  <c r="P247" i="26"/>
  <c r="O247" i="26"/>
  <c r="N247" i="26"/>
  <c r="N246" i="26" s="1"/>
  <c r="M247" i="26"/>
  <c r="L247" i="26"/>
  <c r="K247" i="26"/>
  <c r="J247" i="26"/>
  <c r="J246" i="26" s="1"/>
  <c r="I247" i="26"/>
  <c r="H247" i="26"/>
  <c r="G247" i="26"/>
  <c r="F247" i="26"/>
  <c r="F246" i="26" s="1"/>
  <c r="M246" i="26"/>
  <c r="X245" i="26"/>
  <c r="W245" i="26"/>
  <c r="R245" i="26"/>
  <c r="Y245" i="26" s="1"/>
  <c r="X244" i="26"/>
  <c r="W244" i="26"/>
  <c r="R244" i="26"/>
  <c r="Y244" i="26" s="1"/>
  <c r="X243" i="26"/>
  <c r="W243" i="26"/>
  <c r="R243" i="26"/>
  <c r="V242" i="26"/>
  <c r="U242" i="26"/>
  <c r="T242" i="26"/>
  <c r="S242" i="26"/>
  <c r="Q242" i="26"/>
  <c r="P242" i="26"/>
  <c r="O242" i="26"/>
  <c r="N242" i="26"/>
  <c r="M242" i="26"/>
  <c r="L242" i="26"/>
  <c r="K242" i="26"/>
  <c r="J242" i="26"/>
  <c r="I242" i="26"/>
  <c r="H242" i="26"/>
  <c r="G242" i="26"/>
  <c r="F242" i="26"/>
  <c r="X241" i="26"/>
  <c r="W241" i="26"/>
  <c r="R241" i="26"/>
  <c r="Y241" i="26" s="1"/>
  <c r="X240" i="26"/>
  <c r="W240" i="26"/>
  <c r="R240" i="26"/>
  <c r="Y240" i="26" s="1"/>
  <c r="X239" i="26"/>
  <c r="W239" i="26"/>
  <c r="R239" i="26"/>
  <c r="Y239" i="26" s="1"/>
  <c r="X238" i="26"/>
  <c r="W238" i="26"/>
  <c r="R238" i="26"/>
  <c r="Y238" i="26" s="1"/>
  <c r="X237" i="26"/>
  <c r="W237" i="26"/>
  <c r="R237" i="26"/>
  <c r="Y237" i="26" s="1"/>
  <c r="X236" i="26"/>
  <c r="W236" i="26"/>
  <c r="R236" i="26"/>
  <c r="Y236" i="26" s="1"/>
  <c r="X235" i="26"/>
  <c r="W235" i="26"/>
  <c r="R235" i="26"/>
  <c r="X234" i="26"/>
  <c r="W234" i="26"/>
  <c r="R234" i="26"/>
  <c r="Y234" i="26" s="1"/>
  <c r="X233" i="26"/>
  <c r="W233" i="26"/>
  <c r="R233" i="26"/>
  <c r="Y233" i="26" s="1"/>
  <c r="V232" i="26"/>
  <c r="U232" i="26"/>
  <c r="T232" i="26"/>
  <c r="S232" i="26"/>
  <c r="S231" i="26" s="1"/>
  <c r="Q232" i="26"/>
  <c r="P232" i="26"/>
  <c r="O232" i="26"/>
  <c r="O231" i="26" s="1"/>
  <c r="N232" i="26"/>
  <c r="N231" i="26" s="1"/>
  <c r="M232" i="26"/>
  <c r="L232" i="26"/>
  <c r="K232" i="26"/>
  <c r="K231" i="26" s="1"/>
  <c r="J232" i="26"/>
  <c r="J231" i="26" s="1"/>
  <c r="I232" i="26"/>
  <c r="H232" i="26"/>
  <c r="G232" i="26"/>
  <c r="G231" i="26" s="1"/>
  <c r="F232" i="26"/>
  <c r="V231" i="26"/>
  <c r="F231" i="26"/>
  <c r="X230" i="26"/>
  <c r="W230" i="26"/>
  <c r="R230" i="26"/>
  <c r="Y230" i="26" s="1"/>
  <c r="X229" i="26"/>
  <c r="X228" i="26" s="1"/>
  <c r="W229" i="26"/>
  <c r="R229" i="26"/>
  <c r="Y229" i="26" s="1"/>
  <c r="V228" i="26"/>
  <c r="U228" i="26"/>
  <c r="T228" i="26"/>
  <c r="S228" i="26"/>
  <c r="Q228" i="26"/>
  <c r="P228" i="26"/>
  <c r="O228" i="26"/>
  <c r="N228" i="26"/>
  <c r="M228" i="26"/>
  <c r="L228" i="26"/>
  <c r="K228" i="26"/>
  <c r="J228" i="26"/>
  <c r="I228" i="26"/>
  <c r="I209" i="26" s="1"/>
  <c r="H228" i="26"/>
  <c r="G228" i="26"/>
  <c r="F228" i="26"/>
  <c r="X227" i="26"/>
  <c r="W227" i="26"/>
  <c r="R227" i="26"/>
  <c r="Y227" i="26" s="1"/>
  <c r="X226" i="26"/>
  <c r="W226" i="26"/>
  <c r="R226" i="26"/>
  <c r="Y226" i="26" s="1"/>
  <c r="X225" i="26"/>
  <c r="W225" i="26"/>
  <c r="R225" i="26"/>
  <c r="Y225" i="26" s="1"/>
  <c r="X224" i="26"/>
  <c r="W224" i="26"/>
  <c r="R224" i="26"/>
  <c r="Y224" i="26" s="1"/>
  <c r="X223" i="26"/>
  <c r="W223" i="26"/>
  <c r="R223" i="26"/>
  <c r="X222" i="26"/>
  <c r="W222" i="26"/>
  <c r="R222" i="26"/>
  <c r="Y222" i="26" s="1"/>
  <c r="V221" i="26"/>
  <c r="U221" i="26"/>
  <c r="T221" i="26"/>
  <c r="T210" i="26" s="1"/>
  <c r="T209" i="26" s="1"/>
  <c r="S221" i="26"/>
  <c r="Q221" i="26"/>
  <c r="P221" i="26"/>
  <c r="O221" i="26"/>
  <c r="O210" i="26" s="1"/>
  <c r="O209" i="26" s="1"/>
  <c r="N221" i="26"/>
  <c r="M221" i="26"/>
  <c r="L221" i="26"/>
  <c r="K221" i="26"/>
  <c r="K210" i="26" s="1"/>
  <c r="K209" i="26" s="1"/>
  <c r="J221" i="26"/>
  <c r="I221" i="26"/>
  <c r="H221" i="26"/>
  <c r="G221" i="26"/>
  <c r="G210" i="26" s="1"/>
  <c r="G209" i="26" s="1"/>
  <c r="F221" i="26"/>
  <c r="X220" i="26"/>
  <c r="W220" i="26"/>
  <c r="R220" i="26"/>
  <c r="Y220" i="26" s="1"/>
  <c r="X219" i="26"/>
  <c r="W219" i="26"/>
  <c r="R219" i="26"/>
  <c r="Y219" i="26" s="1"/>
  <c r="X218" i="26"/>
  <c r="W218" i="26"/>
  <c r="R218" i="26"/>
  <c r="Y218" i="26" s="1"/>
  <c r="X217" i="26"/>
  <c r="W217" i="26"/>
  <c r="R217" i="26"/>
  <c r="Y217" i="26" s="1"/>
  <c r="X216" i="26"/>
  <c r="W216" i="26"/>
  <c r="R216" i="26"/>
  <c r="Y216" i="26" s="1"/>
  <c r="X215" i="26"/>
  <c r="S215" i="26"/>
  <c r="W215" i="26" s="1"/>
  <c r="X214" i="26"/>
  <c r="W214" i="26"/>
  <c r="R214" i="26"/>
  <c r="Y214" i="26" s="1"/>
  <c r="X213" i="26"/>
  <c r="W213" i="26"/>
  <c r="R213" i="26"/>
  <c r="Y213" i="26" s="1"/>
  <c r="X212" i="26"/>
  <c r="W212" i="26"/>
  <c r="R212" i="26"/>
  <c r="Y212" i="26" s="1"/>
  <c r="X211" i="26"/>
  <c r="W211" i="26"/>
  <c r="R211" i="26"/>
  <c r="Y211" i="26" s="1"/>
  <c r="V210" i="26"/>
  <c r="U210" i="26"/>
  <c r="U209" i="26" s="1"/>
  <c r="Q210" i="26"/>
  <c r="P210" i="26"/>
  <c r="N210" i="26"/>
  <c r="M210" i="26"/>
  <c r="M209" i="26" s="1"/>
  <c r="L210" i="26"/>
  <c r="L209" i="26" s="1"/>
  <c r="J210" i="26"/>
  <c r="J209" i="26" s="1"/>
  <c r="I210" i="26"/>
  <c r="H210" i="26"/>
  <c r="H209" i="26" s="1"/>
  <c r="F210" i="26"/>
  <c r="F209" i="26" s="1"/>
  <c r="V209" i="26"/>
  <c r="P209" i="26"/>
  <c r="N209" i="26"/>
  <c r="X207" i="26"/>
  <c r="W207" i="26"/>
  <c r="R207" i="26"/>
  <c r="Y207" i="26" s="1"/>
  <c r="X206" i="26"/>
  <c r="W206" i="26"/>
  <c r="R206" i="26"/>
  <c r="Y206" i="26" s="1"/>
  <c r="X205" i="26"/>
  <c r="W205" i="26"/>
  <c r="R205" i="26"/>
  <c r="Y205" i="26" s="1"/>
  <c r="X204" i="26"/>
  <c r="W204" i="26"/>
  <c r="R204" i="26"/>
  <c r="Y204" i="26" s="1"/>
  <c r="X203" i="26"/>
  <c r="W203" i="26"/>
  <c r="R203" i="26"/>
  <c r="Y203" i="26" s="1"/>
  <c r="X202" i="26"/>
  <c r="W202" i="26"/>
  <c r="R202" i="26"/>
  <c r="Y202" i="26" s="1"/>
  <c r="X201" i="26"/>
  <c r="W201" i="26"/>
  <c r="R201" i="26"/>
  <c r="Y201" i="26" s="1"/>
  <c r="X200" i="26"/>
  <c r="W200" i="26"/>
  <c r="R200" i="26"/>
  <c r="Y200" i="26" s="1"/>
  <c r="X199" i="26"/>
  <c r="W199" i="26"/>
  <c r="R199" i="26"/>
  <c r="Y199" i="26" s="1"/>
  <c r="X198" i="26"/>
  <c r="W198" i="26"/>
  <c r="R198" i="26"/>
  <c r="Y198" i="26" s="1"/>
  <c r="X197" i="26"/>
  <c r="W197" i="26"/>
  <c r="R197" i="26"/>
  <c r="Y197" i="26" s="1"/>
  <c r="X196" i="26"/>
  <c r="W196" i="26"/>
  <c r="R196" i="26"/>
  <c r="Y196" i="26" s="1"/>
  <c r="X195" i="26"/>
  <c r="W195" i="26"/>
  <c r="R195" i="26"/>
  <c r="Y195" i="26" s="1"/>
  <c r="X194" i="26"/>
  <c r="W194" i="26"/>
  <c r="R194" i="26"/>
  <c r="Y194" i="26" s="1"/>
  <c r="X193" i="26"/>
  <c r="W193" i="26"/>
  <c r="R193" i="26"/>
  <c r="Y193" i="26" s="1"/>
  <c r="X192" i="26"/>
  <c r="W192" i="26"/>
  <c r="R192" i="26"/>
  <c r="Y192" i="26" s="1"/>
  <c r="X191" i="26"/>
  <c r="W191" i="26"/>
  <c r="R191" i="26"/>
  <c r="Y191" i="26" s="1"/>
  <c r="X190" i="26"/>
  <c r="W190" i="26"/>
  <c r="R190" i="26"/>
  <c r="Y190" i="26" s="1"/>
  <c r="X189" i="26"/>
  <c r="W189" i="26"/>
  <c r="R189" i="26"/>
  <c r="Y189" i="26" s="1"/>
  <c r="X188" i="26"/>
  <c r="W188" i="26"/>
  <c r="R188" i="26"/>
  <c r="Y188" i="26" s="1"/>
  <c r="X187" i="26"/>
  <c r="W187" i="26"/>
  <c r="R187" i="26"/>
  <c r="Y187" i="26" s="1"/>
  <c r="X186" i="26"/>
  <c r="W186" i="26"/>
  <c r="R186" i="26"/>
  <c r="Y186" i="26" s="1"/>
  <c r="X185" i="26"/>
  <c r="W185" i="26"/>
  <c r="R185" i="26"/>
  <c r="Y185" i="26" s="1"/>
  <c r="Y184" i="26"/>
  <c r="X184" i="26"/>
  <c r="W184" i="26"/>
  <c r="Q184" i="26"/>
  <c r="X182" i="26"/>
  <c r="W182" i="26"/>
  <c r="R182" i="26"/>
  <c r="Y182" i="26" s="1"/>
  <c r="X181" i="26"/>
  <c r="W181" i="26"/>
  <c r="R181" i="26"/>
  <c r="Y181" i="26" s="1"/>
  <c r="X180" i="26"/>
  <c r="W180" i="26"/>
  <c r="R180" i="26"/>
  <c r="Y180" i="26" s="1"/>
  <c r="X179" i="26"/>
  <c r="W179" i="26"/>
  <c r="R179" i="26"/>
  <c r="Y179" i="26" s="1"/>
  <c r="X178" i="26"/>
  <c r="W178" i="26"/>
  <c r="R178" i="26"/>
  <c r="Y178" i="26" s="1"/>
  <c r="X177" i="26"/>
  <c r="W177" i="26"/>
  <c r="R177" i="26"/>
  <c r="Y177" i="26" s="1"/>
  <c r="X176" i="26"/>
  <c r="W176" i="26"/>
  <c r="R176" i="26"/>
  <c r="Y176" i="26" s="1"/>
  <c r="X175" i="26"/>
  <c r="W175" i="26"/>
  <c r="R175" i="26"/>
  <c r="Y175" i="26" s="1"/>
  <c r="X174" i="26"/>
  <c r="W174" i="26"/>
  <c r="R174" i="26"/>
  <c r="Y174" i="26" s="1"/>
  <c r="X173" i="26"/>
  <c r="W173" i="26"/>
  <c r="R173" i="26"/>
  <c r="Y173" i="26" s="1"/>
  <c r="X172" i="26"/>
  <c r="W172" i="26"/>
  <c r="R172" i="26"/>
  <c r="Y172" i="26" s="1"/>
  <c r="X171" i="26"/>
  <c r="W171" i="26"/>
  <c r="R171" i="26"/>
  <c r="Y171" i="26" s="1"/>
  <c r="X170" i="26"/>
  <c r="W170" i="26"/>
  <c r="R170" i="26"/>
  <c r="Y170" i="26" s="1"/>
  <c r="X169" i="26"/>
  <c r="W169" i="26"/>
  <c r="R169" i="26"/>
  <c r="Y169" i="26" s="1"/>
  <c r="X168" i="26"/>
  <c r="W168" i="26"/>
  <c r="R168" i="26"/>
  <c r="Y168" i="26" s="1"/>
  <c r="X167" i="26"/>
  <c r="W167" i="26"/>
  <c r="R167" i="26"/>
  <c r="Y167" i="26" s="1"/>
  <c r="X166" i="26"/>
  <c r="W166" i="26"/>
  <c r="R166" i="26"/>
  <c r="Y166" i="26" s="1"/>
  <c r="X165" i="26"/>
  <c r="W165" i="26"/>
  <c r="R165" i="26"/>
  <c r="Y165" i="26" s="1"/>
  <c r="X164" i="26"/>
  <c r="W164" i="26"/>
  <c r="R164" i="26"/>
  <c r="Y164" i="26" s="1"/>
  <c r="X163" i="26"/>
  <c r="W163" i="26"/>
  <c r="R163" i="26"/>
  <c r="Y163" i="26" s="1"/>
  <c r="X162" i="26"/>
  <c r="W162" i="26"/>
  <c r="R162" i="26"/>
  <c r="Y162" i="26" s="1"/>
  <c r="X161" i="26"/>
  <c r="W161" i="26"/>
  <c r="R161" i="26"/>
  <c r="Y161" i="26" s="1"/>
  <c r="X160" i="26"/>
  <c r="W160" i="26"/>
  <c r="R160" i="26"/>
  <c r="Y160" i="26" s="1"/>
  <c r="X159" i="26"/>
  <c r="W159" i="26"/>
  <c r="R159" i="26"/>
  <c r="Y159" i="26" s="1"/>
  <c r="X158" i="26"/>
  <c r="W158" i="26"/>
  <c r="R158" i="26"/>
  <c r="Y158" i="26" s="1"/>
  <c r="X157" i="26"/>
  <c r="W157" i="26"/>
  <c r="R157" i="26"/>
  <c r="Y157" i="26" s="1"/>
  <c r="X156" i="26"/>
  <c r="W156" i="26"/>
  <c r="R156" i="26"/>
  <c r="Y156" i="26" s="1"/>
  <c r="U155" i="26"/>
  <c r="T155" i="26"/>
  <c r="S155" i="26"/>
  <c r="Q155" i="26"/>
  <c r="P155" i="26"/>
  <c r="O155" i="26"/>
  <c r="N155" i="26"/>
  <c r="M155" i="26"/>
  <c r="L155" i="26"/>
  <c r="K155" i="26"/>
  <c r="J155" i="26"/>
  <c r="I155" i="26"/>
  <c r="H155" i="26"/>
  <c r="G155" i="26"/>
  <c r="F155" i="26"/>
  <c r="X154" i="26"/>
  <c r="W154" i="26"/>
  <c r="R154" i="26"/>
  <c r="Y154" i="26" s="1"/>
  <c r="X153" i="26"/>
  <c r="S153" i="26"/>
  <c r="W153" i="26" s="1"/>
  <c r="X152" i="26"/>
  <c r="S152" i="26"/>
  <c r="W152" i="26" s="1"/>
  <c r="X151" i="26"/>
  <c r="X150" i="26" s="1"/>
  <c r="W151" i="26"/>
  <c r="R151" i="26"/>
  <c r="Y151" i="26" s="1"/>
  <c r="U150" i="26"/>
  <c r="T150" i="26"/>
  <c r="Q150" i="26"/>
  <c r="P150" i="26"/>
  <c r="O150" i="26"/>
  <c r="N150" i="26"/>
  <c r="M150" i="26"/>
  <c r="L150" i="26"/>
  <c r="K150" i="26"/>
  <c r="J150" i="26"/>
  <c r="I150" i="26"/>
  <c r="H150" i="26"/>
  <c r="F150" i="26"/>
  <c r="X149" i="26"/>
  <c r="W149" i="26"/>
  <c r="R149" i="26"/>
  <c r="Y149" i="26" s="1"/>
  <c r="Y148" i="26"/>
  <c r="V148" i="26"/>
  <c r="S148" i="26"/>
  <c r="W148" i="26" s="1"/>
  <c r="X147" i="26"/>
  <c r="W147" i="26"/>
  <c r="R147" i="26"/>
  <c r="Y147" i="26" s="1"/>
  <c r="U146" i="26"/>
  <c r="S146" i="26"/>
  <c r="Q146" i="26"/>
  <c r="P146" i="26"/>
  <c r="O146" i="26"/>
  <c r="N146" i="26"/>
  <c r="N145" i="26" s="1"/>
  <c r="M146" i="26"/>
  <c r="L146" i="26"/>
  <c r="K146" i="26"/>
  <c r="J146" i="26"/>
  <c r="J145" i="26" s="1"/>
  <c r="I146" i="26"/>
  <c r="H146" i="26"/>
  <c r="F146" i="26"/>
  <c r="P145" i="26"/>
  <c r="L145" i="26"/>
  <c r="H145" i="26"/>
  <c r="X144" i="26"/>
  <c r="W144" i="26"/>
  <c r="R144" i="26"/>
  <c r="Y144" i="26" s="1"/>
  <c r="X143" i="26"/>
  <c r="W143" i="26"/>
  <c r="R143" i="26"/>
  <c r="Y143" i="26" s="1"/>
  <c r="X142" i="26"/>
  <c r="W142" i="26"/>
  <c r="R142" i="26"/>
  <c r="Y142" i="26" s="1"/>
  <c r="X141" i="26"/>
  <c r="W141" i="26"/>
  <c r="W140" i="26" s="1"/>
  <c r="W139" i="26" s="1"/>
  <c r="R141" i="26"/>
  <c r="Y141" i="26" s="1"/>
  <c r="V140" i="26"/>
  <c r="V139" i="26" s="1"/>
  <c r="U140" i="26"/>
  <c r="U139" i="26" s="1"/>
  <c r="T140" i="26"/>
  <c r="S140" i="26"/>
  <c r="S139" i="26" s="1"/>
  <c r="Q140" i="26"/>
  <c r="Q139" i="26" s="1"/>
  <c r="P140" i="26"/>
  <c r="O140" i="26"/>
  <c r="O139" i="26" s="1"/>
  <c r="N140" i="26"/>
  <c r="M140" i="26"/>
  <c r="M139" i="26" s="1"/>
  <c r="L140" i="26"/>
  <c r="L139" i="26" s="1"/>
  <c r="K140" i="26"/>
  <c r="K139" i="26" s="1"/>
  <c r="J140" i="26"/>
  <c r="I140" i="26"/>
  <c r="I139" i="26" s="1"/>
  <c r="H140" i="26"/>
  <c r="F140" i="26"/>
  <c r="F139" i="26" s="1"/>
  <c r="T139" i="26"/>
  <c r="P139" i="26"/>
  <c r="N139" i="26"/>
  <c r="J139" i="26"/>
  <c r="H139" i="26"/>
  <c r="X138" i="26"/>
  <c r="W138" i="26"/>
  <c r="R138" i="26"/>
  <c r="Y138" i="26" s="1"/>
  <c r="X137" i="26"/>
  <c r="W137" i="26"/>
  <c r="R137" i="26"/>
  <c r="Y137" i="26" s="1"/>
  <c r="W136" i="26"/>
  <c r="U136" i="26"/>
  <c r="T136" i="26"/>
  <c r="S136" i="26"/>
  <c r="Q136" i="26"/>
  <c r="P136" i="26"/>
  <c r="O136" i="26"/>
  <c r="N136" i="26"/>
  <c r="M136" i="26"/>
  <c r="L136" i="26"/>
  <c r="K136" i="26"/>
  <c r="J136" i="26"/>
  <c r="I136" i="26"/>
  <c r="H136" i="26"/>
  <c r="G136" i="26"/>
  <c r="F136" i="26"/>
  <c r="W135" i="26"/>
  <c r="U135" i="26"/>
  <c r="T135" i="26"/>
  <c r="S135" i="26"/>
  <c r="Q135" i="26"/>
  <c r="P135" i="26"/>
  <c r="O135" i="26"/>
  <c r="N135" i="26"/>
  <c r="M135" i="26"/>
  <c r="L135" i="26"/>
  <c r="K135" i="26"/>
  <c r="J135" i="26"/>
  <c r="I135" i="26"/>
  <c r="H135" i="26"/>
  <c r="G134" i="26"/>
  <c r="X133" i="26"/>
  <c r="W133" i="26"/>
  <c r="R133" i="26"/>
  <c r="Y133" i="26" s="1"/>
  <c r="X132" i="26"/>
  <c r="W132" i="26"/>
  <c r="R132" i="26"/>
  <c r="Y132" i="26" s="1"/>
  <c r="X131" i="26"/>
  <c r="W131" i="26"/>
  <c r="R131" i="26"/>
  <c r="Y131" i="26" s="1"/>
  <c r="X130" i="26"/>
  <c r="W130" i="26"/>
  <c r="R130" i="26"/>
  <c r="Y130" i="26" s="1"/>
  <c r="X129" i="26"/>
  <c r="W129" i="26"/>
  <c r="R129" i="26"/>
  <c r="Y129" i="26" s="1"/>
  <c r="X128" i="26"/>
  <c r="W128" i="26"/>
  <c r="R128" i="26"/>
  <c r="Y128" i="26" s="1"/>
  <c r="X127" i="26"/>
  <c r="W127" i="26"/>
  <c r="R127" i="26"/>
  <c r="Y127" i="26" s="1"/>
  <c r="X126" i="26"/>
  <c r="W126" i="26"/>
  <c r="W122" i="26" s="1"/>
  <c r="R126" i="26"/>
  <c r="Y126" i="26" s="1"/>
  <c r="X125" i="26"/>
  <c r="W125" i="26"/>
  <c r="R125" i="26"/>
  <c r="Y125" i="26" s="1"/>
  <c r="X124" i="26"/>
  <c r="W124" i="26"/>
  <c r="R124" i="26"/>
  <c r="Y124" i="26" s="1"/>
  <c r="X123" i="26"/>
  <c r="X122" i="26" s="1"/>
  <c r="W123" i="26"/>
  <c r="R123" i="26"/>
  <c r="Y123" i="26" s="1"/>
  <c r="V122" i="26"/>
  <c r="U122" i="26"/>
  <c r="T122" i="26"/>
  <c r="S122" i="26"/>
  <c r="Q122" i="26"/>
  <c r="P122" i="26"/>
  <c r="O122" i="26"/>
  <c r="N122" i="26"/>
  <c r="M122" i="26"/>
  <c r="L122" i="26"/>
  <c r="K122" i="26"/>
  <c r="J122" i="26"/>
  <c r="I122" i="26"/>
  <c r="H122" i="26"/>
  <c r="G122" i="26"/>
  <c r="F122" i="26"/>
  <c r="Y121" i="26"/>
  <c r="X121" i="26"/>
  <c r="W121" i="26"/>
  <c r="R121" i="26"/>
  <c r="Y120" i="26"/>
  <c r="X120" i="26"/>
  <c r="W120" i="26"/>
  <c r="R120" i="26"/>
  <c r="Y119" i="26"/>
  <c r="X119" i="26"/>
  <c r="W119" i="26"/>
  <c r="R119" i="26"/>
  <c r="Y118" i="26"/>
  <c r="X118" i="26"/>
  <c r="W118" i="26"/>
  <c r="R118" i="26"/>
  <c r="X117" i="26"/>
  <c r="S117" i="26"/>
  <c r="W117" i="26" s="1"/>
  <c r="X116" i="26"/>
  <c r="W116" i="26"/>
  <c r="R116" i="26"/>
  <c r="Y116" i="26" s="1"/>
  <c r="X115" i="26"/>
  <c r="W115" i="26"/>
  <c r="R115" i="26"/>
  <c r="Y115" i="26" s="1"/>
  <c r="X114" i="26"/>
  <c r="W114" i="26"/>
  <c r="R114" i="26"/>
  <c r="Y114" i="26" s="1"/>
  <c r="X113" i="26"/>
  <c r="W113" i="26"/>
  <c r="R113" i="26"/>
  <c r="Y113" i="26" s="1"/>
  <c r="X112" i="26"/>
  <c r="W112" i="26"/>
  <c r="R112" i="26"/>
  <c r="Y112" i="26" s="1"/>
  <c r="X111" i="26"/>
  <c r="W111" i="26"/>
  <c r="R111" i="26"/>
  <c r="Y111" i="26" s="1"/>
  <c r="X110" i="26"/>
  <c r="W110" i="26"/>
  <c r="R110" i="26"/>
  <c r="Y110" i="26" s="1"/>
  <c r="X109" i="26"/>
  <c r="W109" i="26"/>
  <c r="R109" i="26"/>
  <c r="Y109" i="26" s="1"/>
  <c r="X108" i="26"/>
  <c r="W108" i="26"/>
  <c r="R108" i="26"/>
  <c r="Y108" i="26" s="1"/>
  <c r="V107" i="26"/>
  <c r="U107" i="26"/>
  <c r="T107" i="26"/>
  <c r="T106" i="26" s="1"/>
  <c r="Q107" i="26"/>
  <c r="P107" i="26"/>
  <c r="P106" i="26" s="1"/>
  <c r="O107" i="26"/>
  <c r="N107" i="26"/>
  <c r="M107" i="26"/>
  <c r="L107" i="26"/>
  <c r="L106" i="26" s="1"/>
  <c r="K107" i="26"/>
  <c r="J107" i="26"/>
  <c r="I107" i="26"/>
  <c r="H107" i="26"/>
  <c r="H106" i="26" s="1"/>
  <c r="G107" i="26"/>
  <c r="F107" i="26"/>
  <c r="V106" i="26"/>
  <c r="N106" i="26"/>
  <c r="J106" i="26"/>
  <c r="F106" i="26"/>
  <c r="X105" i="26"/>
  <c r="X104" i="26" s="1"/>
  <c r="X103" i="26" s="1"/>
  <c r="W105" i="26"/>
  <c r="W104" i="26" s="1"/>
  <c r="W103" i="26" s="1"/>
  <c r="R105" i="26"/>
  <c r="Y105" i="26" s="1"/>
  <c r="Y104" i="26" s="1"/>
  <c r="Y103" i="26" s="1"/>
  <c r="V104" i="26"/>
  <c r="V103" i="26" s="1"/>
  <c r="U104" i="26"/>
  <c r="U103" i="26" s="1"/>
  <c r="T104" i="26"/>
  <c r="T103" i="26" s="1"/>
  <c r="S104" i="26"/>
  <c r="Q104" i="26"/>
  <c r="Q103" i="26" s="1"/>
  <c r="P104" i="26"/>
  <c r="O104" i="26"/>
  <c r="N104" i="26"/>
  <c r="N103" i="26" s="1"/>
  <c r="M104" i="26"/>
  <c r="M103" i="26" s="1"/>
  <c r="L104" i="26"/>
  <c r="L103" i="26" s="1"/>
  <c r="K104" i="26"/>
  <c r="K103" i="26" s="1"/>
  <c r="J104" i="26"/>
  <c r="J103" i="26" s="1"/>
  <c r="I104" i="26"/>
  <c r="I103" i="26" s="1"/>
  <c r="H104" i="26"/>
  <c r="G104" i="26"/>
  <c r="F104" i="26"/>
  <c r="F103" i="26" s="1"/>
  <c r="S103" i="26"/>
  <c r="P103" i="26"/>
  <c r="O103" i="26"/>
  <c r="H103" i="26"/>
  <c r="G103" i="26"/>
  <c r="X102" i="26"/>
  <c r="X101" i="26" s="1"/>
  <c r="W102" i="26"/>
  <c r="W101" i="26" s="1"/>
  <c r="R102" i="26"/>
  <c r="Y102" i="26" s="1"/>
  <c r="Y101" i="26" s="1"/>
  <c r="V101" i="26"/>
  <c r="U101" i="26"/>
  <c r="T101" i="26"/>
  <c r="S101" i="26"/>
  <c r="Q101" i="26"/>
  <c r="P101" i="26"/>
  <c r="O101" i="26"/>
  <c r="N101" i="26"/>
  <c r="M101" i="26"/>
  <c r="L101" i="26"/>
  <c r="K101" i="26"/>
  <c r="J101" i="26"/>
  <c r="I101" i="26"/>
  <c r="H101" i="26"/>
  <c r="G101" i="26"/>
  <c r="F101" i="26"/>
  <c r="X100" i="26"/>
  <c r="W100" i="26"/>
  <c r="R100" i="26"/>
  <c r="Y100" i="26" s="1"/>
  <c r="X99" i="26"/>
  <c r="W99" i="26"/>
  <c r="R99" i="26"/>
  <c r="Y99" i="26" s="1"/>
  <c r="V98" i="26"/>
  <c r="U98" i="26"/>
  <c r="U97" i="26" s="1"/>
  <c r="T98" i="26"/>
  <c r="S98" i="26"/>
  <c r="Q98" i="26"/>
  <c r="Q97" i="26" s="1"/>
  <c r="P98" i="26"/>
  <c r="O98" i="26"/>
  <c r="N98" i="26"/>
  <c r="M98" i="26"/>
  <c r="M97" i="26" s="1"/>
  <c r="L98" i="26"/>
  <c r="K98" i="26"/>
  <c r="J98" i="26"/>
  <c r="I98" i="26"/>
  <c r="I97" i="26" s="1"/>
  <c r="H98" i="26"/>
  <c r="G98" i="26"/>
  <c r="F98" i="26"/>
  <c r="V97" i="26"/>
  <c r="N97" i="26"/>
  <c r="J97" i="26"/>
  <c r="F97" i="26"/>
  <c r="X96" i="26"/>
  <c r="W96" i="26"/>
  <c r="R96" i="26"/>
  <c r="Y96" i="26" s="1"/>
  <c r="X95" i="26"/>
  <c r="W95" i="26"/>
  <c r="R95" i="26"/>
  <c r="Y95" i="26" s="1"/>
  <c r="V94" i="26"/>
  <c r="U94" i="26"/>
  <c r="T94" i="26"/>
  <c r="T91" i="26" s="1"/>
  <c r="S94" i="26"/>
  <c r="Q94" i="26"/>
  <c r="P94" i="26"/>
  <c r="O94" i="26"/>
  <c r="N94" i="26"/>
  <c r="M94" i="26"/>
  <c r="L94" i="26"/>
  <c r="K94" i="26"/>
  <c r="J94" i="26"/>
  <c r="I94" i="26"/>
  <c r="H94" i="26"/>
  <c r="G94" i="26"/>
  <c r="F94" i="26"/>
  <c r="X93" i="26"/>
  <c r="X92" i="26" s="1"/>
  <c r="W93" i="26"/>
  <c r="W92" i="26" s="1"/>
  <c r="R93" i="26"/>
  <c r="Y93" i="26" s="1"/>
  <c r="Y92" i="26" s="1"/>
  <c r="V92" i="26"/>
  <c r="V91" i="26" s="1"/>
  <c r="U92" i="26"/>
  <c r="T92" i="26"/>
  <c r="S92" i="26"/>
  <c r="Q92" i="26"/>
  <c r="Q91" i="26" s="1"/>
  <c r="P92" i="26"/>
  <c r="O92" i="26"/>
  <c r="N92" i="26"/>
  <c r="N91" i="26" s="1"/>
  <c r="M92" i="26"/>
  <c r="M91" i="26" s="1"/>
  <c r="L92" i="26"/>
  <c r="K92" i="26"/>
  <c r="J92" i="26"/>
  <c r="J91" i="26" s="1"/>
  <c r="I92" i="26"/>
  <c r="I91" i="26" s="1"/>
  <c r="H92" i="26"/>
  <c r="G92" i="26"/>
  <c r="F92" i="26"/>
  <c r="F91" i="26" s="1"/>
  <c r="P91" i="26"/>
  <c r="L91" i="26"/>
  <c r="H91" i="26"/>
  <c r="X90" i="26"/>
  <c r="W90" i="26"/>
  <c r="R90" i="26"/>
  <c r="Y90" i="26" s="1"/>
  <c r="X89" i="26"/>
  <c r="W89" i="26"/>
  <c r="R89" i="26"/>
  <c r="Y89" i="26" s="1"/>
  <c r="X88" i="26"/>
  <c r="S88" i="26"/>
  <c r="W88" i="26" s="1"/>
  <c r="X87" i="26"/>
  <c r="W87" i="26"/>
  <c r="R87" i="26"/>
  <c r="Y87" i="26" s="1"/>
  <c r="V86" i="26"/>
  <c r="U86" i="26"/>
  <c r="T86" i="26"/>
  <c r="S86" i="26"/>
  <c r="Q86" i="26"/>
  <c r="P86" i="26"/>
  <c r="O86" i="26"/>
  <c r="N86" i="26"/>
  <c r="N75" i="26" s="1"/>
  <c r="M86" i="26"/>
  <c r="L86" i="26"/>
  <c r="K86" i="26"/>
  <c r="J86" i="26"/>
  <c r="I86" i="26"/>
  <c r="H86" i="26"/>
  <c r="G86" i="26"/>
  <c r="F86" i="26"/>
  <c r="F75" i="26" s="1"/>
  <c r="X85" i="26"/>
  <c r="W85" i="26"/>
  <c r="R85" i="26"/>
  <c r="Y85" i="26" s="1"/>
  <c r="X84" i="26"/>
  <c r="W84" i="26"/>
  <c r="R84" i="26"/>
  <c r="Y84" i="26" s="1"/>
  <c r="X83" i="26"/>
  <c r="W83" i="26"/>
  <c r="R83" i="26"/>
  <c r="Y83" i="26" s="1"/>
  <c r="X82" i="26"/>
  <c r="W82" i="26"/>
  <c r="R82" i="26"/>
  <c r="Y82" i="26" s="1"/>
  <c r="X81" i="26"/>
  <c r="W81" i="26"/>
  <c r="R81" i="26"/>
  <c r="Y81" i="26" s="1"/>
  <c r="X80" i="26"/>
  <c r="W80" i="26"/>
  <c r="R80" i="26"/>
  <c r="Y80" i="26" s="1"/>
  <c r="X79" i="26"/>
  <c r="W79" i="26"/>
  <c r="R79" i="26"/>
  <c r="Y79" i="26" s="1"/>
  <c r="X78" i="26"/>
  <c r="W78" i="26"/>
  <c r="R78" i="26"/>
  <c r="Y78" i="26" s="1"/>
  <c r="X77" i="26"/>
  <c r="X76" i="26" s="1"/>
  <c r="W77" i="26"/>
  <c r="W76" i="26" s="1"/>
  <c r="R77" i="26"/>
  <c r="Y77" i="26" s="1"/>
  <c r="V76" i="26"/>
  <c r="U76" i="26"/>
  <c r="U75" i="26" s="1"/>
  <c r="T76" i="26"/>
  <c r="S76" i="26"/>
  <c r="Q76" i="26"/>
  <c r="Q75" i="26" s="1"/>
  <c r="P76" i="26"/>
  <c r="P75" i="26" s="1"/>
  <c r="O76" i="26"/>
  <c r="N76" i="26"/>
  <c r="M76" i="26"/>
  <c r="M75" i="26" s="1"/>
  <c r="L76" i="26"/>
  <c r="L75" i="26" s="1"/>
  <c r="K76" i="26"/>
  <c r="J76" i="26"/>
  <c r="I76" i="26"/>
  <c r="I75" i="26" s="1"/>
  <c r="H76" i="26"/>
  <c r="H75" i="26" s="1"/>
  <c r="G76" i="26"/>
  <c r="F76" i="26"/>
  <c r="V75" i="26"/>
  <c r="T75" i="26"/>
  <c r="J75" i="26"/>
  <c r="X74" i="26"/>
  <c r="X73" i="26" s="1"/>
  <c r="W74" i="26"/>
  <c r="W73" i="26" s="1"/>
  <c r="R74" i="26"/>
  <c r="Y74" i="26" s="1"/>
  <c r="Y73" i="26" s="1"/>
  <c r="V73" i="26"/>
  <c r="U73" i="26"/>
  <c r="T73" i="26"/>
  <c r="S73" i="26"/>
  <c r="R73" i="26"/>
  <c r="Q73" i="26"/>
  <c r="P73" i="26"/>
  <c r="O73" i="26"/>
  <c r="N73" i="26"/>
  <c r="M73" i="26"/>
  <c r="L73" i="26"/>
  <c r="K73" i="26"/>
  <c r="J73" i="26"/>
  <c r="I73" i="26"/>
  <c r="H73" i="26"/>
  <c r="G73" i="26"/>
  <c r="F73" i="26"/>
  <c r="X72" i="26"/>
  <c r="W72" i="26"/>
  <c r="R72" i="26"/>
  <c r="Y72" i="26" s="1"/>
  <c r="X71" i="26"/>
  <c r="W71" i="26"/>
  <c r="R71" i="26"/>
  <c r="Y71" i="26" s="1"/>
  <c r="X70" i="26"/>
  <c r="W70" i="26"/>
  <c r="R70" i="26"/>
  <c r="Y70" i="26" s="1"/>
  <c r="X69" i="26"/>
  <c r="W69" i="26"/>
  <c r="R69" i="26"/>
  <c r="Y69" i="26" s="1"/>
  <c r="W68" i="26"/>
  <c r="W67" i="26" s="1"/>
  <c r="V68" i="26"/>
  <c r="U68" i="26"/>
  <c r="T68" i="26"/>
  <c r="T67" i="26" s="1"/>
  <c r="S68" i="26"/>
  <c r="S67" i="26" s="1"/>
  <c r="Q68" i="26"/>
  <c r="P68" i="26"/>
  <c r="P67" i="26" s="1"/>
  <c r="O68" i="26"/>
  <c r="O67" i="26" s="1"/>
  <c r="N68" i="26"/>
  <c r="M68" i="26"/>
  <c r="L68" i="26"/>
  <c r="L67" i="26" s="1"/>
  <c r="K68" i="26"/>
  <c r="K67" i="26" s="1"/>
  <c r="J68" i="26"/>
  <c r="I68" i="26"/>
  <c r="H68" i="26"/>
  <c r="H67" i="26" s="1"/>
  <c r="G68" i="26"/>
  <c r="G67" i="26" s="1"/>
  <c r="F68" i="26"/>
  <c r="V67" i="26"/>
  <c r="U67" i="26"/>
  <c r="Q67" i="26"/>
  <c r="N67" i="26"/>
  <c r="M67" i="26"/>
  <c r="J67" i="26"/>
  <c r="I67" i="26"/>
  <c r="F67" i="26"/>
  <c r="X66" i="26"/>
  <c r="W66" i="26"/>
  <c r="R66" i="26"/>
  <c r="Y66" i="26" s="1"/>
  <c r="X65" i="26"/>
  <c r="W65" i="26"/>
  <c r="W64" i="26" s="1"/>
  <c r="R65" i="26"/>
  <c r="Y65" i="26" s="1"/>
  <c r="Y64" i="26" s="1"/>
  <c r="V64" i="26"/>
  <c r="U64" i="26"/>
  <c r="T64" i="26"/>
  <c r="S64" i="26"/>
  <c r="Q64" i="26"/>
  <c r="P64" i="26"/>
  <c r="O64" i="26"/>
  <c r="N64" i="26"/>
  <c r="M64" i="26"/>
  <c r="L64" i="26"/>
  <c r="K64" i="26"/>
  <c r="J64" i="26"/>
  <c r="I64" i="26"/>
  <c r="H64" i="26"/>
  <c r="G64" i="26"/>
  <c r="F64" i="26"/>
  <c r="Y63" i="26"/>
  <c r="X63" i="26"/>
  <c r="W63" i="26"/>
  <c r="R63" i="26"/>
  <c r="Y62" i="26"/>
  <c r="X62" i="26"/>
  <c r="W62" i="26"/>
  <c r="R62" i="26"/>
  <c r="Y61" i="26"/>
  <c r="X61" i="26"/>
  <c r="W61" i="26"/>
  <c r="R61" i="26"/>
  <c r="Y60" i="26"/>
  <c r="X60" i="26"/>
  <c r="W60" i="26"/>
  <c r="R60" i="26"/>
  <c r="Y59" i="26"/>
  <c r="X59" i="26"/>
  <c r="W59" i="26"/>
  <c r="R59" i="26"/>
  <c r="Y58" i="26"/>
  <c r="X58" i="26"/>
  <c r="W58" i="26"/>
  <c r="V58" i="26"/>
  <c r="U58" i="26"/>
  <c r="U53" i="26" s="1"/>
  <c r="T58" i="26"/>
  <c r="S58" i="26"/>
  <c r="S53" i="26" s="1"/>
  <c r="S52" i="26" s="1"/>
  <c r="R58" i="26"/>
  <c r="Q58" i="26"/>
  <c r="Q53" i="26" s="1"/>
  <c r="Q52" i="26" s="1"/>
  <c r="P58" i="26"/>
  <c r="P53" i="26" s="1"/>
  <c r="P52" i="26" s="1"/>
  <c r="O58" i="26"/>
  <c r="O53" i="26" s="1"/>
  <c r="O52" i="26" s="1"/>
  <c r="N58" i="26"/>
  <c r="M58" i="26"/>
  <c r="M53" i="26" s="1"/>
  <c r="M52" i="26" s="1"/>
  <c r="L58" i="26"/>
  <c r="K58" i="26"/>
  <c r="K53" i="26" s="1"/>
  <c r="K52" i="26" s="1"/>
  <c r="J58" i="26"/>
  <c r="I58" i="26"/>
  <c r="I53" i="26" s="1"/>
  <c r="I52" i="26" s="1"/>
  <c r="H58" i="26"/>
  <c r="H53" i="26" s="1"/>
  <c r="H52" i="26" s="1"/>
  <c r="G58" i="26"/>
  <c r="G53" i="26" s="1"/>
  <c r="G52" i="26" s="1"/>
  <c r="F58" i="26"/>
  <c r="Y57" i="26"/>
  <c r="X57" i="26"/>
  <c r="W57" i="26"/>
  <c r="R57" i="26"/>
  <c r="Y56" i="26"/>
  <c r="X56" i="26"/>
  <c r="W56" i="26"/>
  <c r="R56" i="26"/>
  <c r="Y55" i="26"/>
  <c r="X55" i="26"/>
  <c r="W55" i="26"/>
  <c r="R55" i="26"/>
  <c r="Y54" i="26"/>
  <c r="Y53" i="26" s="1"/>
  <c r="X54" i="26"/>
  <c r="X53" i="26" s="1"/>
  <c r="W54" i="26"/>
  <c r="W53" i="26" s="1"/>
  <c r="R54" i="26"/>
  <c r="V53" i="26"/>
  <c r="V52" i="26" s="1"/>
  <c r="T53" i="26"/>
  <c r="T52" i="26" s="1"/>
  <c r="R53" i="26"/>
  <c r="N53" i="26"/>
  <c r="N52" i="26" s="1"/>
  <c r="L53" i="26"/>
  <c r="L52" i="26" s="1"/>
  <c r="J53" i="26"/>
  <c r="J52" i="26" s="1"/>
  <c r="F53" i="26"/>
  <c r="F52" i="26" s="1"/>
  <c r="Y265" i="26" l="1"/>
  <c r="J44" i="26"/>
  <c r="J47" i="26"/>
  <c r="Y76" i="26"/>
  <c r="Y272" i="26"/>
  <c r="Y68" i="26"/>
  <c r="G91" i="26"/>
  <c r="K91" i="26"/>
  <c r="O91" i="26"/>
  <c r="X94" i="26"/>
  <c r="S97" i="26"/>
  <c r="X140" i="26"/>
  <c r="X139" i="26" s="1"/>
  <c r="V154" i="26"/>
  <c r="X155" i="26"/>
  <c r="X221" i="26"/>
  <c r="R228" i="26"/>
  <c r="X232" i="26"/>
  <c r="V246" i="26"/>
  <c r="F280" i="26"/>
  <c r="J280" i="26"/>
  <c r="N280" i="26"/>
  <c r="H386" i="26"/>
  <c r="L386" i="26"/>
  <c r="P386" i="26"/>
  <c r="I386" i="26"/>
  <c r="M386" i="26"/>
  <c r="Q386" i="26"/>
  <c r="I428" i="26"/>
  <c r="M428" i="26"/>
  <c r="Q428" i="26"/>
  <c r="W461" i="26"/>
  <c r="H461" i="26"/>
  <c r="L461" i="26"/>
  <c r="P461" i="26"/>
  <c r="Y632" i="26"/>
  <c r="F728" i="26"/>
  <c r="F662" i="26" s="1"/>
  <c r="R277" i="26"/>
  <c r="R276" i="26" s="1"/>
  <c r="R76" i="26"/>
  <c r="G97" i="26"/>
  <c r="K97" i="26"/>
  <c r="O97" i="26"/>
  <c r="X107" i="26"/>
  <c r="Y122" i="26"/>
  <c r="W150" i="26"/>
  <c r="W145" i="26" s="1"/>
  <c r="W134" i="26" s="1"/>
  <c r="W228" i="26"/>
  <c r="T280" i="26"/>
  <c r="T263" i="26" s="1"/>
  <c r="V305" i="26"/>
  <c r="T372" i="26"/>
  <c r="X372" i="26"/>
  <c r="F428" i="26"/>
  <c r="J428" i="26"/>
  <c r="N428" i="26"/>
  <c r="W548" i="26"/>
  <c r="W639" i="26"/>
  <c r="M662" i="26"/>
  <c r="Q662" i="26"/>
  <c r="G346" i="26"/>
  <c r="U52" i="26"/>
  <c r="X64" i="26"/>
  <c r="X52" i="26" s="1"/>
  <c r="W52" i="26"/>
  <c r="R68" i="26"/>
  <c r="R67" i="26" s="1"/>
  <c r="X68" i="26"/>
  <c r="X67" i="26" s="1"/>
  <c r="G75" i="26"/>
  <c r="K75" i="26"/>
  <c r="O75" i="26"/>
  <c r="S75" i="26"/>
  <c r="S91" i="26"/>
  <c r="X98" i="26"/>
  <c r="X97" i="26" s="1"/>
  <c r="R101" i="26"/>
  <c r="Q209" i="26"/>
  <c r="X257" i="26"/>
  <c r="I263" i="26"/>
  <c r="Q263" i="26"/>
  <c r="F305" i="26"/>
  <c r="J305" i="26"/>
  <c r="N305" i="26"/>
  <c r="X401" i="26"/>
  <c r="X400" i="26" s="1"/>
  <c r="I475" i="26"/>
  <c r="I474" i="26" s="1"/>
  <c r="M475" i="26"/>
  <c r="M474" i="26" s="1"/>
  <c r="M473" i="26" s="1"/>
  <c r="Q475" i="26"/>
  <c r="Q474" i="26" s="1"/>
  <c r="Q473" i="26" s="1"/>
  <c r="U475" i="26"/>
  <c r="U474" i="26" s="1"/>
  <c r="Y477" i="26"/>
  <c r="X729" i="26"/>
  <c r="Y759" i="26"/>
  <c r="Y52" i="26"/>
  <c r="R64" i="26"/>
  <c r="R52" i="26" s="1"/>
  <c r="U91" i="26"/>
  <c r="R94" i="26"/>
  <c r="W94" i="26"/>
  <c r="W91" i="26" s="1"/>
  <c r="H97" i="26"/>
  <c r="L97" i="26"/>
  <c r="P97" i="26"/>
  <c r="R98" i="26"/>
  <c r="R97" i="26" s="1"/>
  <c r="T97" i="26"/>
  <c r="W98" i="26"/>
  <c r="W107" i="26"/>
  <c r="W106" i="26" s="1"/>
  <c r="R122" i="26"/>
  <c r="X91" i="26"/>
  <c r="X106" i="26"/>
  <c r="G106" i="26"/>
  <c r="K106" i="26"/>
  <c r="O106" i="26"/>
  <c r="W232" i="26"/>
  <c r="I231" i="26"/>
  <c r="I208" i="26" s="1"/>
  <c r="I183" i="26" s="1"/>
  <c r="M231" i="26"/>
  <c r="Q231" i="26"/>
  <c r="T231" i="26"/>
  <c r="G246" i="26"/>
  <c r="K246" i="26"/>
  <c r="K208" i="26" s="1"/>
  <c r="K183" i="26" s="1"/>
  <c r="O246" i="26"/>
  <c r="O208" i="26" s="1"/>
  <c r="O183" i="26" s="1"/>
  <c r="T246" i="26"/>
  <c r="M263" i="26"/>
  <c r="V263" i="26"/>
  <c r="G263" i="26"/>
  <c r="K263" i="26"/>
  <c r="O263" i="26"/>
  <c r="Y282" i="26"/>
  <c r="R281" i="26"/>
  <c r="Y136" i="26"/>
  <c r="Y135" i="26" s="1"/>
  <c r="X136" i="26"/>
  <c r="X135" i="26" s="1"/>
  <c r="R140" i="26"/>
  <c r="R139" i="26" s="1"/>
  <c r="F145" i="26"/>
  <c r="F134" i="26" s="1"/>
  <c r="F51" i="26" s="1"/>
  <c r="I145" i="26"/>
  <c r="K145" i="26"/>
  <c r="K134" i="26" s="1"/>
  <c r="M145" i="26"/>
  <c r="O145" i="26"/>
  <c r="O134" i="26" s="1"/>
  <c r="O51" i="26" s="1"/>
  <c r="O49" i="26" s="1"/>
  <c r="O48" i="26" s="1"/>
  <c r="Q145" i="26"/>
  <c r="U145" i="26"/>
  <c r="V147" i="26"/>
  <c r="Q208" i="26"/>
  <c r="Q183" i="26" s="1"/>
  <c r="S210" i="26"/>
  <c r="S209" i="26" s="1"/>
  <c r="W221" i="26"/>
  <c r="H231" i="26"/>
  <c r="L231" i="26"/>
  <c r="L208" i="26" s="1"/>
  <c r="L183" i="26" s="1"/>
  <c r="P231" i="26"/>
  <c r="U231" i="26"/>
  <c r="W242" i="26"/>
  <c r="X242" i="26"/>
  <c r="X231" i="26" s="1"/>
  <c r="W247" i="26"/>
  <c r="H246" i="26"/>
  <c r="L246" i="26"/>
  <c r="P246" i="26"/>
  <c r="S246" i="26"/>
  <c r="W257" i="26"/>
  <c r="F263" i="26"/>
  <c r="F208" i="26" s="1"/>
  <c r="F183" i="26" s="1"/>
  <c r="J263" i="26"/>
  <c r="J208" i="26" s="1"/>
  <c r="J183" i="26" s="1"/>
  <c r="N263" i="26"/>
  <c r="N208" i="26" s="1"/>
  <c r="N183" i="26" s="1"/>
  <c r="U280" i="26"/>
  <c r="U263" i="26" s="1"/>
  <c r="X292" i="26"/>
  <c r="X280" i="26" s="1"/>
  <c r="X263" i="26" s="1"/>
  <c r="R308" i="26"/>
  <c r="R306" i="26" s="1"/>
  <c r="R305" i="26" s="1"/>
  <c r="W308" i="26"/>
  <c r="W306" i="26" s="1"/>
  <c r="W305" i="26" s="1"/>
  <c r="X308" i="26"/>
  <c r="X306" i="26" s="1"/>
  <c r="X305" i="26" s="1"/>
  <c r="M346" i="26"/>
  <c r="Q346" i="26"/>
  <c r="W350" i="26"/>
  <c r="W349" i="26" s="1"/>
  <c r="H349" i="26"/>
  <c r="L349" i="26"/>
  <c r="P349" i="26"/>
  <c r="T377" i="26"/>
  <c r="U386" i="26"/>
  <c r="F395" i="26"/>
  <c r="F394" i="26" s="1"/>
  <c r="F347" i="26" s="1"/>
  <c r="N395" i="26"/>
  <c r="N394" i="26" s="1"/>
  <c r="N347" i="26" s="1"/>
  <c r="N345" i="26" s="1"/>
  <c r="V395" i="26"/>
  <c r="G395" i="26"/>
  <c r="I395" i="26"/>
  <c r="K395" i="26"/>
  <c r="K394" i="26" s="1"/>
  <c r="K347" i="26" s="1"/>
  <c r="M395" i="26"/>
  <c r="Q395" i="26"/>
  <c r="S395" i="26"/>
  <c r="S394" i="26" s="1"/>
  <c r="S347" i="26" s="1"/>
  <c r="U395" i="26"/>
  <c r="U394" i="26" s="1"/>
  <c r="U347" i="26" s="1"/>
  <c r="U345" i="26" s="1"/>
  <c r="H395" i="26"/>
  <c r="H394" i="26" s="1"/>
  <c r="H347" i="26" s="1"/>
  <c r="L395" i="26"/>
  <c r="L394" i="26" s="1"/>
  <c r="L347" i="26" s="1"/>
  <c r="P395" i="26"/>
  <c r="P394" i="26" s="1"/>
  <c r="P347" i="26" s="1"/>
  <c r="W434" i="26"/>
  <c r="W428" i="26" s="1"/>
  <c r="Y434" i="26"/>
  <c r="X434" i="26"/>
  <c r="F461" i="26"/>
  <c r="J461" i="26"/>
  <c r="N461" i="26"/>
  <c r="R461" i="26"/>
  <c r="K461" i="26"/>
  <c r="O461" i="26"/>
  <c r="O346" i="26" s="1"/>
  <c r="O345" i="26" s="1"/>
  <c r="S461" i="26"/>
  <c r="Y468" i="26"/>
  <c r="X468" i="26"/>
  <c r="G475" i="26"/>
  <c r="G474" i="26" s="1"/>
  <c r="K475" i="26"/>
  <c r="K474" i="26" s="1"/>
  <c r="O475" i="26"/>
  <c r="O474" i="26" s="1"/>
  <c r="S475" i="26"/>
  <c r="S474" i="26" s="1"/>
  <c r="W607" i="26"/>
  <c r="X607" i="26"/>
  <c r="Y611" i="26"/>
  <c r="W632" i="26"/>
  <c r="X663" i="26"/>
  <c r="H662" i="26"/>
  <c r="H473" i="26" s="1"/>
  <c r="P662" i="26"/>
  <c r="P473" i="26" s="1"/>
  <c r="W719" i="26"/>
  <c r="L728" i="26"/>
  <c r="L662" i="26" s="1"/>
  <c r="L473" i="26" s="1"/>
  <c r="T728" i="26"/>
  <c r="U346" i="26"/>
  <c r="N346" i="26"/>
  <c r="T395" i="26"/>
  <c r="T394" i="26" s="1"/>
  <c r="T347" i="26" s="1"/>
  <c r="V346" i="26"/>
  <c r="R428" i="26"/>
  <c r="X639" i="26"/>
  <c r="W645" i="26"/>
  <c r="Y645" i="26"/>
  <c r="W729" i="26"/>
  <c r="W97" i="26"/>
  <c r="Y140" i="26"/>
  <c r="Y139" i="26" s="1"/>
  <c r="Y67" i="26"/>
  <c r="R92" i="26"/>
  <c r="R91" i="26" s="1"/>
  <c r="M106" i="26"/>
  <c r="U106" i="26"/>
  <c r="R155" i="26"/>
  <c r="V166" i="26"/>
  <c r="R247" i="26"/>
  <c r="R104" i="26"/>
  <c r="R103" i="26" s="1"/>
  <c r="I106" i="26"/>
  <c r="Q106" i="26"/>
  <c r="J134" i="26"/>
  <c r="J51" i="26" s="1"/>
  <c r="W86" i="26"/>
  <c r="W75" i="26" s="1"/>
  <c r="S107" i="26"/>
  <c r="R117" i="26"/>
  <c r="Y117" i="26" s="1"/>
  <c r="V137" i="26"/>
  <c r="L134" i="26"/>
  <c r="L51" i="26" s="1"/>
  <c r="W146" i="26"/>
  <c r="W155" i="26"/>
  <c r="G51" i="26"/>
  <c r="X86" i="26"/>
  <c r="X75" i="26" s="1"/>
  <c r="Y107" i="26"/>
  <c r="Y106" i="26" s="1"/>
  <c r="S106" i="26"/>
  <c r="N134" i="26"/>
  <c r="N51" i="26" s="1"/>
  <c r="I134" i="26"/>
  <c r="M134" i="26"/>
  <c r="M51" i="26" s="1"/>
  <c r="Q134" i="26"/>
  <c r="U134" i="26"/>
  <c r="Y235" i="26"/>
  <c r="R232" i="26"/>
  <c r="V385" i="26"/>
  <c r="V394" i="26"/>
  <c r="V347" i="26" s="1"/>
  <c r="H134" i="26"/>
  <c r="P134" i="26"/>
  <c r="P51" i="26" s="1"/>
  <c r="Y223" i="26"/>
  <c r="R221" i="26"/>
  <c r="Y243" i="26"/>
  <c r="R242" i="26"/>
  <c r="X247" i="26"/>
  <c r="Y281" i="26"/>
  <c r="W210" i="26"/>
  <c r="W209" i="26" s="1"/>
  <c r="Y221" i="26"/>
  <c r="Y257" i="26"/>
  <c r="Y330" i="26"/>
  <c r="X395" i="26"/>
  <c r="X394" i="26" s="1"/>
  <c r="X347" i="26" s="1"/>
  <c r="W401" i="26"/>
  <c r="W400" i="26" s="1"/>
  <c r="W395" i="26" s="1"/>
  <c r="W394" i="26" s="1"/>
  <c r="W347" i="26" s="1"/>
  <c r="Y428" i="26"/>
  <c r="Y607" i="26"/>
  <c r="Y475" i="26" s="1"/>
  <c r="Y474" i="26" s="1"/>
  <c r="I662" i="26"/>
  <c r="I473" i="26" s="1"/>
  <c r="U662" i="26"/>
  <c r="U473" i="26" s="1"/>
  <c r="S728" i="26"/>
  <c r="S662" i="26" s="1"/>
  <c r="S473" i="26" s="1"/>
  <c r="X210" i="26"/>
  <c r="X209" i="26" s="1"/>
  <c r="R257" i="26"/>
  <c r="S292" i="26"/>
  <c r="S280" i="26" s="1"/>
  <c r="S263" i="26" s="1"/>
  <c r="S208" i="26" s="1"/>
  <c r="S183" i="26" s="1"/>
  <c r="R330" i="26"/>
  <c r="R346" i="26"/>
  <c r="K346" i="26"/>
  <c r="X359" i="26"/>
  <c r="T350" i="26"/>
  <c r="T349" i="26" s="1"/>
  <c r="H346" i="26"/>
  <c r="H345" i="26" s="1"/>
  <c r="F385" i="26"/>
  <c r="F346" i="26"/>
  <c r="F345" i="26" s="1"/>
  <c r="J385" i="26"/>
  <c r="J346" i="26"/>
  <c r="J345" i="26" s="1"/>
  <c r="O395" i="26"/>
  <c r="O394" i="26" s="1"/>
  <c r="O347" i="26" s="1"/>
  <c r="X430" i="26"/>
  <c r="X429" i="26" s="1"/>
  <c r="T429" i="26"/>
  <c r="T428" i="26" s="1"/>
  <c r="X437" i="26"/>
  <c r="W445" i="26"/>
  <c r="F475" i="26"/>
  <c r="F474" i="26" s="1"/>
  <c r="J475" i="26"/>
  <c r="J474" i="26" s="1"/>
  <c r="N475" i="26"/>
  <c r="N474" i="26" s="1"/>
  <c r="N473" i="26" s="1"/>
  <c r="R475" i="26"/>
  <c r="R474" i="26" s="1"/>
  <c r="V475" i="26"/>
  <c r="V474" i="26" s="1"/>
  <c r="V473" i="26" s="1"/>
  <c r="G728" i="26"/>
  <c r="G662" i="26" s="1"/>
  <c r="G473" i="26" s="1"/>
  <c r="K728" i="26"/>
  <c r="K662" i="26" s="1"/>
  <c r="K473" i="26" s="1"/>
  <c r="O728" i="26"/>
  <c r="O662" i="26" s="1"/>
  <c r="O473" i="26" s="1"/>
  <c r="Y247" i="26"/>
  <c r="Y246" i="26" s="1"/>
  <c r="W292" i="26"/>
  <c r="W280" i="26" s="1"/>
  <c r="W263" i="26" s="1"/>
  <c r="Y308" i="26"/>
  <c r="Y306" i="26" s="1"/>
  <c r="Y305" i="26" s="1"/>
  <c r="Y404" i="26"/>
  <c r="Y401" i="26" s="1"/>
  <c r="Y400" i="26" s="1"/>
  <c r="R401" i="26"/>
  <c r="R400" i="26" s="1"/>
  <c r="R395" i="26" s="1"/>
  <c r="P445" i="26"/>
  <c r="P428" i="26" s="1"/>
  <c r="W758" i="26"/>
  <c r="W753" i="26" s="1"/>
  <c r="J753" i="26"/>
  <c r="J728" i="26" s="1"/>
  <c r="J662" i="26" s="1"/>
  <c r="H385" i="26"/>
  <c r="L385" i="26"/>
  <c r="P385" i="26"/>
  <c r="I394" i="26"/>
  <c r="I347" i="26" s="1"/>
  <c r="I385" i="26"/>
  <c r="M394" i="26"/>
  <c r="M347" i="26" s="1"/>
  <c r="M385" i="26"/>
  <c r="Q394" i="26"/>
  <c r="Q347" i="26" s="1"/>
  <c r="Q385" i="26"/>
  <c r="T662" i="26"/>
  <c r="T473" i="26" s="1"/>
  <c r="Y409" i="26"/>
  <c r="Y408" i="26" s="1"/>
  <c r="T462" i="26"/>
  <c r="T461" i="26" s="1"/>
  <c r="W468" i="26"/>
  <c r="X477" i="26"/>
  <c r="X645" i="26"/>
  <c r="Y663" i="26"/>
  <c r="Y674" i="26"/>
  <c r="Y673" i="26" s="1"/>
  <c r="Y350" i="26"/>
  <c r="Y349" i="26" s="1"/>
  <c r="W437" i="26"/>
  <c r="Y461" i="26"/>
  <c r="W542" i="26"/>
  <c r="W477" i="26" s="1"/>
  <c r="Y729" i="26"/>
  <c r="Y753" i="26"/>
  <c r="X350" i="26"/>
  <c r="X349" i="26" s="1"/>
  <c r="S388" i="26"/>
  <c r="S386" i="26" s="1"/>
  <c r="S385" i="26" s="1"/>
  <c r="Y388" i="26"/>
  <c r="Y386" i="26" s="1"/>
  <c r="X548" i="26"/>
  <c r="W617" i="26"/>
  <c r="X632" i="26"/>
  <c r="W663" i="26"/>
  <c r="W674" i="26"/>
  <c r="W673" i="26" s="1"/>
  <c r="X674" i="26"/>
  <c r="X673" i="26" s="1"/>
  <c r="R729" i="26"/>
  <c r="R728" i="26" s="1"/>
  <c r="R662" i="26" s="1"/>
  <c r="X759" i="26"/>
  <c r="Y94" i="26"/>
  <c r="Y91" i="26" s="1"/>
  <c r="Y98" i="26"/>
  <c r="Y97" i="26" s="1"/>
  <c r="Y146" i="26"/>
  <c r="Y155" i="26"/>
  <c r="R88" i="26"/>
  <c r="R136" i="26"/>
  <c r="R135" i="26" s="1"/>
  <c r="V138" i="26"/>
  <c r="V136" i="26" s="1"/>
  <c r="V135" i="26" s="1"/>
  <c r="R146" i="26"/>
  <c r="T148" i="26"/>
  <c r="V149" i="26"/>
  <c r="V146" i="26" s="1"/>
  <c r="S150" i="26"/>
  <c r="S145" i="26" s="1"/>
  <c r="V151" i="26"/>
  <c r="R152" i="26"/>
  <c r="R153" i="26"/>
  <c r="V165" i="26"/>
  <c r="V155" i="26" s="1"/>
  <c r="Y228" i="26"/>
  <c r="Y232" i="26"/>
  <c r="Y242" i="26"/>
  <c r="X389" i="26"/>
  <c r="X388" i="26" s="1"/>
  <c r="X386" i="26" s="1"/>
  <c r="X385" i="26" s="1"/>
  <c r="T388" i="26"/>
  <c r="T386" i="26" s="1"/>
  <c r="R298" i="26"/>
  <c r="W389" i="26"/>
  <c r="W388" i="26" s="1"/>
  <c r="W386" i="26" s="1"/>
  <c r="R215" i="26"/>
  <c r="X464" i="26"/>
  <c r="X462" i="26" s="1"/>
  <c r="X461" i="26" s="1"/>
  <c r="W613" i="26"/>
  <c r="W611" i="26" s="1"/>
  <c r="X614" i="26"/>
  <c r="X611" i="26" s="1"/>
  <c r="X758" i="26"/>
  <c r="X753" i="26" s="1"/>
  <c r="W765" i="26"/>
  <c r="W759" i="26" s="1"/>
  <c r="L445" i="26"/>
  <c r="L428" i="26" s="1"/>
  <c r="L346" i="26" s="1"/>
  <c r="Y231" i="26" l="1"/>
  <c r="U385" i="26"/>
  <c r="F473" i="26"/>
  <c r="X246" i="26"/>
  <c r="X208" i="26" s="1"/>
  <c r="X183" i="26" s="1"/>
  <c r="H208" i="26"/>
  <c r="H183" i="26" s="1"/>
  <c r="V208" i="26"/>
  <c r="V183" i="26" s="1"/>
  <c r="M208" i="26"/>
  <c r="M183" i="26" s="1"/>
  <c r="P346" i="26"/>
  <c r="P345" i="26" s="1"/>
  <c r="K51" i="26"/>
  <c r="K49" i="26" s="1"/>
  <c r="K48" i="26" s="1"/>
  <c r="G208" i="26"/>
  <c r="G183" i="26" s="1"/>
  <c r="X728" i="26"/>
  <c r="X662" i="26" s="1"/>
  <c r="I345" i="26"/>
  <c r="I796" i="26" s="1"/>
  <c r="N385" i="26"/>
  <c r="K345" i="26"/>
  <c r="H51" i="26"/>
  <c r="P208" i="26"/>
  <c r="P183" i="26" s="1"/>
  <c r="P49" i="26" s="1"/>
  <c r="P48" i="26" s="1"/>
  <c r="T208" i="26"/>
  <c r="T183" i="26" s="1"/>
  <c r="I346" i="26"/>
  <c r="Y264" i="26"/>
  <c r="U208" i="26"/>
  <c r="U183" i="26" s="1"/>
  <c r="U792" i="26" s="1"/>
  <c r="K46" i="26"/>
  <c r="K45" i="26"/>
  <c r="F49" i="26"/>
  <c r="F48" i="26" s="1"/>
  <c r="F46" i="26" s="1"/>
  <c r="F43" i="26" s="1"/>
  <c r="Y346" i="26"/>
  <c r="W728" i="26"/>
  <c r="W662" i="26" s="1"/>
  <c r="X428" i="26"/>
  <c r="H49" i="26"/>
  <c r="H48" i="26" s="1"/>
  <c r="H45" i="26" s="1"/>
  <c r="J49" i="26"/>
  <c r="J48" i="26" s="1"/>
  <c r="J45" i="26" s="1"/>
  <c r="I51" i="26"/>
  <c r="I49" i="26" s="1"/>
  <c r="I48" i="26" s="1"/>
  <c r="T44" i="26"/>
  <c r="T47" i="26"/>
  <c r="L47" i="26"/>
  <c r="L44" i="26"/>
  <c r="U47" i="26"/>
  <c r="U44" i="26"/>
  <c r="K47" i="26"/>
  <c r="K44" i="26"/>
  <c r="G394" i="26"/>
  <c r="G347" i="26" s="1"/>
  <c r="G385" i="26"/>
  <c r="F44" i="26"/>
  <c r="F47" i="26"/>
  <c r="K385" i="26"/>
  <c r="W246" i="26"/>
  <c r="W208" i="26" s="1"/>
  <c r="W183" i="26" s="1"/>
  <c r="W49" i="26" s="1"/>
  <c r="W48" i="26" s="1"/>
  <c r="W475" i="26"/>
  <c r="W474" i="26" s="1"/>
  <c r="W51" i="26"/>
  <c r="Y395" i="26"/>
  <c r="Y394" i="26" s="1"/>
  <c r="Y347" i="26" s="1"/>
  <c r="J473" i="26"/>
  <c r="J796" i="26" s="1"/>
  <c r="H796" i="26"/>
  <c r="M49" i="26"/>
  <c r="M48" i="26" s="1"/>
  <c r="M46" i="26" s="1"/>
  <c r="M43" i="26" s="1"/>
  <c r="N49" i="26"/>
  <c r="N48" i="26" s="1"/>
  <c r="N45" i="26" s="1"/>
  <c r="G49" i="26"/>
  <c r="G48" i="26" s="1"/>
  <c r="L49" i="26"/>
  <c r="L48" i="26" s="1"/>
  <c r="L46" i="26" s="1"/>
  <c r="L43" i="26" s="1"/>
  <c r="L42" i="26" s="1"/>
  <c r="Q51" i="26"/>
  <c r="Q49" i="26" s="1"/>
  <c r="Q48" i="26" s="1"/>
  <c r="U51" i="26"/>
  <c r="U49" i="26" s="1"/>
  <c r="U48" i="26" s="1"/>
  <c r="U46" i="26" s="1"/>
  <c r="U43" i="26" s="1"/>
  <c r="U42" i="26" s="1"/>
  <c r="P47" i="26"/>
  <c r="P44" i="26"/>
  <c r="H44" i="26"/>
  <c r="H47" i="26"/>
  <c r="S44" i="26"/>
  <c r="S47" i="26"/>
  <c r="N44" i="26"/>
  <c r="N47" i="26"/>
  <c r="W231" i="26"/>
  <c r="O45" i="26"/>
  <c r="R394" i="26"/>
  <c r="R347" i="26" s="1"/>
  <c r="R345" i="26" s="1"/>
  <c r="R385" i="26"/>
  <c r="Q46" i="26"/>
  <c r="Q43" i="26" s="1"/>
  <c r="U45" i="26"/>
  <c r="Y44" i="26"/>
  <c r="Y47" i="26"/>
  <c r="K796" i="26"/>
  <c r="I46" i="26"/>
  <c r="I43" i="26" s="1"/>
  <c r="I42" i="26" s="1"/>
  <c r="X475" i="26"/>
  <c r="X474" i="26" s="1"/>
  <c r="X473" i="26" s="1"/>
  <c r="Y385" i="26"/>
  <c r="Y728" i="26"/>
  <c r="Y662" i="26"/>
  <c r="Y473" i="26" s="1"/>
  <c r="M44" i="26"/>
  <c r="M47" i="26"/>
  <c r="V47" i="26"/>
  <c r="V44" i="26"/>
  <c r="M345" i="26"/>
  <c r="V345" i="26"/>
  <c r="J46" i="26"/>
  <c r="R246" i="26"/>
  <c r="F45" i="26"/>
  <c r="O46" i="26"/>
  <c r="O43" i="26" s="1"/>
  <c r="R473" i="26"/>
  <c r="O47" i="26"/>
  <c r="O44" i="26"/>
  <c r="S346" i="26"/>
  <c r="S345" i="26" s="1"/>
  <c r="S792" i="26" s="1"/>
  <c r="O385" i="26"/>
  <c r="R231" i="26"/>
  <c r="Q47" i="26"/>
  <c r="Q44" i="26"/>
  <c r="I47" i="26"/>
  <c r="I44" i="26"/>
  <c r="W47" i="26"/>
  <c r="W44" i="26"/>
  <c r="K43" i="26"/>
  <c r="K42" i="26" s="1"/>
  <c r="X44" i="26"/>
  <c r="X47" i="26"/>
  <c r="H46" i="26"/>
  <c r="H43" i="26" s="1"/>
  <c r="Q345" i="26"/>
  <c r="Q792" i="26" s="1"/>
  <c r="R107" i="26"/>
  <c r="R106" i="26" s="1"/>
  <c r="S134" i="26"/>
  <c r="S51" i="26" s="1"/>
  <c r="S49" i="26" s="1"/>
  <c r="S48" i="26" s="1"/>
  <c r="L345" i="26"/>
  <c r="L45" i="26" s="1"/>
  <c r="Y152" i="26"/>
  <c r="R150" i="26"/>
  <c r="V152" i="26"/>
  <c r="Y298" i="26"/>
  <c r="Y292" i="26" s="1"/>
  <c r="Y280" i="26" s="1"/>
  <c r="Y263" i="26" s="1"/>
  <c r="R292" i="26"/>
  <c r="R280" i="26" s="1"/>
  <c r="R263" i="26" s="1"/>
  <c r="X148" i="26"/>
  <c r="X146" i="26" s="1"/>
  <c r="X145" i="26" s="1"/>
  <c r="X134" i="26" s="1"/>
  <c r="X51" i="26" s="1"/>
  <c r="T146" i="26"/>
  <c r="T145" i="26" s="1"/>
  <c r="Y215" i="26"/>
  <c r="Y210" i="26" s="1"/>
  <c r="Y209" i="26" s="1"/>
  <c r="R210" i="26"/>
  <c r="R209" i="26" s="1"/>
  <c r="W346" i="26"/>
  <c r="W345" i="26" s="1"/>
  <c r="W385" i="26"/>
  <c r="X346" i="26"/>
  <c r="X345" i="26" s="1"/>
  <c r="T385" i="26"/>
  <c r="T346" i="26"/>
  <c r="T345" i="26" s="1"/>
  <c r="Y153" i="26"/>
  <c r="V153" i="26"/>
  <c r="R145" i="26"/>
  <c r="Y88" i="26"/>
  <c r="Y86" i="26" s="1"/>
  <c r="Y75" i="26" s="1"/>
  <c r="R86" i="26"/>
  <c r="R75" i="26" s="1"/>
  <c r="P45" i="26" l="1"/>
  <c r="P46" i="26"/>
  <c r="P43" i="26" s="1"/>
  <c r="P42" i="26" s="1"/>
  <c r="F42" i="26"/>
  <c r="Y208" i="26"/>
  <c r="Y183" i="26" s="1"/>
  <c r="V150" i="26"/>
  <c r="V145" i="26" s="1"/>
  <c r="H42" i="26"/>
  <c r="N46" i="26"/>
  <c r="N43" i="26" s="1"/>
  <c r="N42" i="26" s="1"/>
  <c r="M45" i="26"/>
  <c r="I45" i="26"/>
  <c r="W473" i="26"/>
  <c r="J797" i="26"/>
  <c r="J799" i="26" s="1"/>
  <c r="O42" i="26"/>
  <c r="J43" i="26"/>
  <c r="J42" i="26" s="1"/>
  <c r="G46" i="26"/>
  <c r="G43" i="26" s="1"/>
  <c r="G47" i="26"/>
  <c r="G44" i="26"/>
  <c r="G345" i="26"/>
  <c r="G45" i="26" s="1"/>
  <c r="Y345" i="26"/>
  <c r="R208" i="26"/>
  <c r="R183" i="26" s="1"/>
  <c r="R792" i="26" s="1"/>
  <c r="Q45" i="26"/>
  <c r="Q42" i="26"/>
  <c r="R47" i="26"/>
  <c r="R44" i="26"/>
  <c r="W792" i="26"/>
  <c r="M42" i="26"/>
  <c r="V792" i="26"/>
  <c r="V134" i="26"/>
  <c r="V51" i="26" s="1"/>
  <c r="V49" i="26" s="1"/>
  <c r="V48" i="26" s="1"/>
  <c r="T792" i="26"/>
  <c r="T134" i="26"/>
  <c r="T51" i="26" s="1"/>
  <c r="T49" i="26" s="1"/>
  <c r="T48" i="26" s="1"/>
  <c r="R134" i="26"/>
  <c r="R51" i="26" s="1"/>
  <c r="R49" i="26" s="1"/>
  <c r="R48" i="26" s="1"/>
  <c r="S46" i="26"/>
  <c r="S43" i="26" s="1"/>
  <c r="S42" i="26" s="1"/>
  <c r="S45" i="26"/>
  <c r="X792" i="26"/>
  <c r="X794" i="26" s="1"/>
  <c r="X49" i="26"/>
  <c r="X48" i="26" s="1"/>
  <c r="Y150" i="26"/>
  <c r="Y145" i="26" s="1"/>
  <c r="Y134" i="26" s="1"/>
  <c r="Y51" i="26" s="1"/>
  <c r="W46" i="26"/>
  <c r="W45" i="26"/>
  <c r="Y49" i="26" l="1"/>
  <c r="Y48" i="26" s="1"/>
  <c r="G42" i="26"/>
  <c r="Y46" i="26"/>
  <c r="Y43" i="26" s="1"/>
  <c r="Y42" i="26" s="1"/>
  <c r="Y45" i="26"/>
  <c r="R46" i="26"/>
  <c r="R43" i="26" s="1"/>
  <c r="R42" i="26" s="1"/>
  <c r="R45" i="26"/>
  <c r="T46" i="26"/>
  <c r="T43" i="26" s="1"/>
  <c r="T42" i="26" s="1"/>
  <c r="T45" i="26"/>
  <c r="V46" i="26"/>
  <c r="V43" i="26" s="1"/>
  <c r="V42" i="26" s="1"/>
  <c r="V45" i="26"/>
  <c r="Z47" i="26"/>
  <c r="W43" i="26"/>
  <c r="X46" i="26"/>
  <c r="X43" i="26" s="1"/>
  <c r="X42" i="26" s="1"/>
  <c r="X45" i="26"/>
  <c r="AA42" i="26" l="1"/>
  <c r="AB42" i="26" s="1"/>
  <c r="W42" i="26"/>
  <c r="Z43" i="26" s="1"/>
  <c r="Z46" i="26" s="1"/>
  <c r="F6" i="24" l="1"/>
  <c r="C19" i="1" l="1"/>
  <c r="C18" i="1"/>
  <c r="D16" i="1"/>
  <c r="D8" i="1" s="1"/>
  <c r="C34" i="1" l="1"/>
  <c r="D32" i="1"/>
  <c r="I36" i="1"/>
  <c r="L94" i="4" l="1"/>
  <c r="M95" i="4" s="1"/>
  <c r="I17" i="1" l="1"/>
  <c r="D16" i="15" l="1"/>
  <c r="C10" i="15"/>
  <c r="C9" i="15" s="1"/>
  <c r="D10" i="15"/>
  <c r="B13" i="15"/>
  <c r="D11" i="15"/>
  <c r="B11" i="15" s="1"/>
  <c r="M30" i="1"/>
  <c r="D9" i="15" l="1"/>
  <c r="B18" i="15"/>
  <c r="B15" i="15"/>
  <c r="B14" i="15"/>
  <c r="C17" i="16"/>
  <c r="H10" i="16"/>
  <c r="G10" i="16" s="1"/>
  <c r="G11" i="16" s="1"/>
  <c r="C11" i="16" s="1"/>
  <c r="D10" i="16"/>
  <c r="D16" i="16" s="1"/>
  <c r="C16" i="16" s="1"/>
  <c r="C15" i="16"/>
  <c r="E8" i="20"/>
  <c r="G53" i="20"/>
  <c r="D13" i="20"/>
  <c r="C66" i="20"/>
  <c r="G66" i="20" s="1"/>
  <c r="G65" i="20" s="1"/>
  <c r="C63" i="20"/>
  <c r="G63" i="20" s="1"/>
  <c r="G62" i="20" s="1"/>
  <c r="G59" i="20"/>
  <c r="G58" i="20"/>
  <c r="G57" i="20"/>
  <c r="G56" i="20"/>
  <c r="G55" i="20"/>
  <c r="G54" i="20"/>
  <c r="G52" i="20"/>
  <c r="C51" i="20"/>
  <c r="H49" i="20"/>
  <c r="H48" i="20" s="1"/>
  <c r="F48" i="20"/>
  <c r="D48" i="20"/>
  <c r="H47" i="20"/>
  <c r="H46" i="20"/>
  <c r="F45" i="20"/>
  <c r="F44" i="20" s="1"/>
  <c r="D45" i="20"/>
  <c r="D44" i="20" s="1"/>
  <c r="H43" i="20"/>
  <c r="F42" i="20"/>
  <c r="D42" i="20"/>
  <c r="H41" i="20"/>
  <c r="F40" i="20"/>
  <c r="D40" i="20"/>
  <c r="F39" i="20"/>
  <c r="H38" i="20"/>
  <c r="H37" i="20" s="1"/>
  <c r="D37" i="20"/>
  <c r="D36" i="20" s="1"/>
  <c r="F36" i="20"/>
  <c r="H35" i="20"/>
  <c r="H34" i="20" s="1"/>
  <c r="H33" i="20" s="1"/>
  <c r="D34" i="20"/>
  <c r="D33" i="20" s="1"/>
  <c r="H31" i="20"/>
  <c r="H30" i="20"/>
  <c r="F30" i="20"/>
  <c r="D30" i="20"/>
  <c r="H28" i="20"/>
  <c r="H27" i="20"/>
  <c r="F27" i="20"/>
  <c r="F26" i="20" s="1"/>
  <c r="D27" i="20"/>
  <c r="D26" i="20" s="1"/>
  <c r="H25" i="20"/>
  <c r="F24" i="20"/>
  <c r="F23" i="20" s="1"/>
  <c r="D24" i="20"/>
  <c r="F22" i="20"/>
  <c r="H22" i="20" s="1"/>
  <c r="H21" i="20"/>
  <c r="D20" i="20"/>
  <c r="H17" i="20"/>
  <c r="H16" i="20"/>
  <c r="H15" i="20"/>
  <c r="H14" i="20"/>
  <c r="F13" i="20"/>
  <c r="H12" i="20"/>
  <c r="F11" i="20"/>
  <c r="F10" i="20" s="1"/>
  <c r="D11" i="20"/>
  <c r="D10" i="20" s="1"/>
  <c r="C10" i="16" l="1"/>
  <c r="G51" i="20"/>
  <c r="H24" i="20"/>
  <c r="H23" i="20" s="1"/>
  <c r="H26" i="20"/>
  <c r="G61" i="20"/>
  <c r="H11" i="20"/>
  <c r="H13" i="20"/>
  <c r="H20" i="20"/>
  <c r="D39" i="20"/>
  <c r="H36" i="20"/>
  <c r="H42" i="20"/>
  <c r="H45" i="20"/>
  <c r="H44" i="20" s="1"/>
  <c r="C65" i="20"/>
  <c r="H10" i="20"/>
  <c r="D23" i="20"/>
  <c r="D19" i="20" s="1"/>
  <c r="D18" i="20" s="1"/>
  <c r="D9" i="20" s="1"/>
  <c r="D8" i="20" s="1"/>
  <c r="H40" i="20"/>
  <c r="C62" i="20"/>
  <c r="F20" i="20"/>
  <c r="F19" i="20" s="1"/>
  <c r="F18" i="20" s="1"/>
  <c r="F9" i="20" s="1"/>
  <c r="F8" i="20" s="1"/>
  <c r="H39" i="20" l="1"/>
  <c r="H19" i="20"/>
  <c r="H18" i="20"/>
  <c r="H9" i="20" s="1"/>
  <c r="H8" i="20" s="1"/>
  <c r="C61" i="20"/>
  <c r="C50" i="20" s="1"/>
  <c r="C8" i="20" l="1"/>
  <c r="G50" i="20"/>
  <c r="G8" i="20" s="1"/>
  <c r="C13" i="11"/>
  <c r="B26" i="11"/>
  <c r="C22" i="11"/>
  <c r="C10" i="11" l="1"/>
  <c r="G90" i="5" l="1"/>
  <c r="F90" i="5"/>
  <c r="D18" i="3" l="1"/>
  <c r="D36" i="3"/>
  <c r="G36" i="3" s="1"/>
  <c r="D37" i="3"/>
  <c r="F95" i="5"/>
  <c r="S96" i="5" s="1"/>
  <c r="F93" i="5"/>
  <c r="G93" i="4"/>
  <c r="C9" i="1" l="1"/>
  <c r="C10" i="1" l="1"/>
  <c r="R47" i="5"/>
  <c r="J8" i="1" l="1"/>
  <c r="J7" i="1" s="1"/>
  <c r="I38" i="2"/>
  <c r="E20" i="2" l="1"/>
  <c r="E19" i="2"/>
  <c r="D50" i="3"/>
  <c r="D45" i="3"/>
  <c r="D35" i="3"/>
  <c r="D33" i="3" s="1"/>
  <c r="D12" i="3" l="1"/>
  <c r="D42" i="3" s="1"/>
  <c r="G54" i="4"/>
  <c r="D46" i="4"/>
  <c r="G30" i="3" l="1"/>
  <c r="G37" i="3"/>
  <c r="G27" i="3"/>
  <c r="H15" i="5"/>
  <c r="H21" i="5"/>
  <c r="H20" i="5"/>
  <c r="H10" i="5" l="1"/>
  <c r="H102" i="5" s="1"/>
  <c r="F21" i="5"/>
  <c r="F20" i="5"/>
  <c r="F15" i="5"/>
  <c r="F13" i="5"/>
  <c r="F10" i="5" l="1"/>
  <c r="F9" i="5" s="1"/>
  <c r="E11" i="5"/>
  <c r="D98" i="4"/>
  <c r="D97" i="4"/>
  <c r="D96" i="4"/>
  <c r="D95" i="4"/>
  <c r="D94" i="4"/>
  <c r="D92" i="4"/>
  <c r="AF15" i="7"/>
  <c r="AF22" i="7" l="1"/>
  <c r="AF21" i="7" l="1"/>
  <c r="AF20" i="7"/>
  <c r="AF19" i="7"/>
  <c r="AK19" i="7" s="1"/>
  <c r="AB18" i="7"/>
  <c r="AF17" i="7"/>
  <c r="AF16" i="7"/>
  <c r="AE14" i="7"/>
  <c r="W18" i="7" l="1"/>
  <c r="AK14" i="7"/>
  <c r="Y22" i="7"/>
  <c r="X22" i="7"/>
  <c r="X20" i="7"/>
  <c r="X19" i="7"/>
  <c r="W19" i="7" s="1"/>
  <c r="X18" i="7"/>
  <c r="X17" i="7"/>
  <c r="W17" i="7" s="1"/>
  <c r="X16" i="7"/>
  <c r="W16" i="7" s="1"/>
  <c r="X14" i="7"/>
  <c r="T19" i="7"/>
  <c r="AK18" i="7"/>
  <c r="AK21" i="7"/>
  <c r="X13" i="7" l="1"/>
  <c r="E97" i="5"/>
  <c r="AM16" i="7" l="1"/>
  <c r="AM17" i="7"/>
  <c r="AM20" i="7"/>
  <c r="AM21" i="7"/>
  <c r="AM22" i="7"/>
  <c r="J17" i="7"/>
  <c r="J19" i="7"/>
  <c r="J18" i="7"/>
  <c r="J16" i="7"/>
  <c r="AK17" i="7"/>
  <c r="O17" i="7" s="1"/>
  <c r="T18" i="7"/>
  <c r="T15" i="7"/>
  <c r="AN15" i="7" s="1"/>
  <c r="J15" i="7"/>
  <c r="F22" i="7"/>
  <c r="F21" i="7"/>
  <c r="F20" i="7"/>
  <c r="F19" i="7"/>
  <c r="F18" i="7"/>
  <c r="F17" i="7"/>
  <c r="F16" i="7"/>
  <c r="F15" i="7"/>
  <c r="E18" i="7" l="1"/>
  <c r="H18" i="7" s="1"/>
  <c r="AM13" i="7"/>
  <c r="F14" i="7"/>
  <c r="N22" i="7" l="1"/>
  <c r="N21" i="7"/>
  <c r="N20" i="7"/>
  <c r="N19" i="7"/>
  <c r="N18" i="7"/>
  <c r="N17" i="7"/>
  <c r="M17" i="7" s="1"/>
  <c r="N16" i="7"/>
  <c r="N15" i="7"/>
  <c r="N14" i="7" l="1"/>
  <c r="N13" i="7" s="1"/>
  <c r="K13" i="7"/>
  <c r="C12" i="2" l="1"/>
  <c r="D12" i="2"/>
  <c r="E12" i="2"/>
  <c r="C16" i="2"/>
  <c r="C20" i="2"/>
  <c r="C25" i="2"/>
  <c r="D16" i="2"/>
  <c r="F16" i="2" s="1"/>
  <c r="D20" i="2"/>
  <c r="F20" i="2" s="1"/>
  <c r="D25" i="2"/>
  <c r="F25" i="2" s="1"/>
  <c r="G20" i="2"/>
  <c r="H15" i="2"/>
  <c r="H17" i="2" s="1"/>
  <c r="J16" i="2"/>
  <c r="G18" i="2"/>
  <c r="H33" i="2"/>
  <c r="H18" i="2" s="1"/>
  <c r="C35" i="2"/>
  <c r="D35" i="2"/>
  <c r="F35" i="2" s="1"/>
  <c r="G37" i="2"/>
  <c r="G38" i="2"/>
  <c r="G39" i="2"/>
  <c r="G42" i="2"/>
  <c r="C13" i="3"/>
  <c r="C18" i="3"/>
  <c r="E18" i="3" s="1"/>
  <c r="C9" i="3"/>
  <c r="D53" i="3"/>
  <c r="D54" i="3"/>
  <c r="D56" i="3"/>
  <c r="E15" i="3"/>
  <c r="E16" i="3"/>
  <c r="H16" i="3"/>
  <c r="E19" i="3"/>
  <c r="E20" i="3"/>
  <c r="G20" i="3"/>
  <c r="E21" i="3"/>
  <c r="H27" i="3"/>
  <c r="H28" i="3"/>
  <c r="C35" i="3"/>
  <c r="C33" i="3" s="1"/>
  <c r="E34" i="3"/>
  <c r="D57" i="3"/>
  <c r="E36" i="3"/>
  <c r="E37" i="3"/>
  <c r="F47" i="3"/>
  <c r="C45" i="3"/>
  <c r="C52" i="3"/>
  <c r="C50" i="3" s="1"/>
  <c r="F45" i="3"/>
  <c r="E48" i="3"/>
  <c r="F48" i="3"/>
  <c r="E51" i="3"/>
  <c r="I66" i="3"/>
  <c r="Q5" i="1"/>
  <c r="E8" i="1"/>
  <c r="E16" i="1"/>
  <c r="F16" i="1"/>
  <c r="F8" i="1"/>
  <c r="F7" i="1" s="1"/>
  <c r="K8" i="1"/>
  <c r="K7" i="1" s="1"/>
  <c r="L8" i="1"/>
  <c r="L7" i="1" s="1"/>
  <c r="N7" i="1"/>
  <c r="I9" i="1"/>
  <c r="I10" i="1"/>
  <c r="C11" i="1"/>
  <c r="I11" i="1"/>
  <c r="I12" i="1"/>
  <c r="C13" i="1"/>
  <c r="I13" i="1"/>
  <c r="C14" i="1"/>
  <c r="I14" i="1"/>
  <c r="C15" i="1"/>
  <c r="I15" i="1"/>
  <c r="I16" i="1"/>
  <c r="N16" i="1"/>
  <c r="P16" i="1" s="1"/>
  <c r="R16" i="1"/>
  <c r="C17" i="1"/>
  <c r="I18" i="1"/>
  <c r="C20" i="1"/>
  <c r="M20" i="1"/>
  <c r="C27" i="1"/>
  <c r="M34" i="1"/>
  <c r="M40" i="1"/>
  <c r="B42" i="1"/>
  <c r="T14" i="7"/>
  <c r="E15" i="7"/>
  <c r="T16" i="7"/>
  <c r="T17" i="7"/>
  <c r="E17" i="7" s="1"/>
  <c r="H17" i="7" s="1"/>
  <c r="E19" i="7"/>
  <c r="T20" i="7"/>
  <c r="E20" i="7" s="1"/>
  <c r="T21" i="7"/>
  <c r="E21" i="7" s="1"/>
  <c r="T22" i="7"/>
  <c r="AC13" i="7"/>
  <c r="AD13" i="7"/>
  <c r="C13" i="7"/>
  <c r="O14" i="7"/>
  <c r="AK15" i="7"/>
  <c r="O15" i="7" s="1"/>
  <c r="M15" i="7" s="1"/>
  <c r="AK16" i="7"/>
  <c r="O16" i="7" s="1"/>
  <c r="M16" i="7" s="1"/>
  <c r="O18" i="7"/>
  <c r="M18" i="7" s="1"/>
  <c r="D18" i="7" s="1"/>
  <c r="AO18" i="7" s="1"/>
  <c r="AN18" i="7"/>
  <c r="O19" i="7"/>
  <c r="M19" i="7" s="1"/>
  <c r="AK20" i="7"/>
  <c r="O20" i="7" s="1"/>
  <c r="M20" i="7" s="1"/>
  <c r="O21" i="7"/>
  <c r="M21" i="7" s="1"/>
  <c r="AN21" i="7"/>
  <c r="AK22" i="7"/>
  <c r="O22" i="7" s="1"/>
  <c r="M22" i="7" s="1"/>
  <c r="F13" i="7"/>
  <c r="G17" i="7"/>
  <c r="I13" i="7"/>
  <c r="J14" i="7"/>
  <c r="J20" i="7"/>
  <c r="J13" i="7" s="1"/>
  <c r="J21" i="7"/>
  <c r="J22" i="7"/>
  <c r="L13" i="7"/>
  <c r="P13" i="7"/>
  <c r="Q13" i="7"/>
  <c r="R13" i="7"/>
  <c r="S13" i="7"/>
  <c r="U13" i="7"/>
  <c r="V13" i="7"/>
  <c r="W14" i="7"/>
  <c r="W15" i="7"/>
  <c r="W20" i="7"/>
  <c r="W13" i="7" s="1"/>
  <c r="W21" i="7"/>
  <c r="W22" i="7"/>
  <c r="Y13" i="7"/>
  <c r="Z13" i="7"/>
  <c r="AA13" i="7"/>
  <c r="AB13" i="7"/>
  <c r="AE13" i="7"/>
  <c r="AF13" i="7"/>
  <c r="AG13" i="7"/>
  <c r="AH13" i="7"/>
  <c r="AI13" i="7"/>
  <c r="AJ13" i="7"/>
  <c r="D12" i="4"/>
  <c r="M13" i="4" s="1"/>
  <c r="D21" i="4"/>
  <c r="D22" i="4"/>
  <c r="D14" i="4"/>
  <c r="D23" i="4"/>
  <c r="I23" i="4" s="1"/>
  <c r="D16" i="4"/>
  <c r="I16" i="4" s="1"/>
  <c r="D25" i="4"/>
  <c r="J25" i="4" s="1"/>
  <c r="D17" i="4"/>
  <c r="D26" i="4"/>
  <c r="D19" i="4"/>
  <c r="D28" i="4"/>
  <c r="D30" i="4"/>
  <c r="D31" i="4"/>
  <c r="I31" i="4" s="1"/>
  <c r="D34" i="4"/>
  <c r="D32" i="4"/>
  <c r="D33" i="4"/>
  <c r="D35" i="4"/>
  <c r="D37" i="4"/>
  <c r="J37" i="4" s="1"/>
  <c r="D38" i="4"/>
  <c r="D39" i="4"/>
  <c r="I39" i="4" s="1"/>
  <c r="D40" i="4"/>
  <c r="J40" i="4" s="1"/>
  <c r="D41" i="4"/>
  <c r="K41" i="4" s="1"/>
  <c r="G42" i="4"/>
  <c r="I46" i="4"/>
  <c r="D44" i="4"/>
  <c r="I44" i="4" s="1"/>
  <c r="D45" i="4"/>
  <c r="D51" i="4"/>
  <c r="D47" i="4"/>
  <c r="E48" i="4"/>
  <c r="F48" i="4"/>
  <c r="G48" i="4"/>
  <c r="H50" i="4"/>
  <c r="D50" i="4" s="1"/>
  <c r="I50" i="4" s="1"/>
  <c r="E57" i="4"/>
  <c r="F57" i="4"/>
  <c r="G57" i="4"/>
  <c r="H57" i="4"/>
  <c r="D64" i="4"/>
  <c r="K64" i="4" s="1"/>
  <c r="D65" i="4"/>
  <c r="K65" i="4" s="1"/>
  <c r="D67" i="4"/>
  <c r="K67" i="4" s="1"/>
  <c r="D68" i="4"/>
  <c r="I68" i="4" s="1"/>
  <c r="D69" i="4"/>
  <c r="K69" i="4" s="1"/>
  <c r="D100" i="4"/>
  <c r="C81" i="5"/>
  <c r="C80" i="5" s="1"/>
  <c r="C8" i="5" s="1"/>
  <c r="D35" i="5"/>
  <c r="D80" i="5"/>
  <c r="D8" i="5" s="1"/>
  <c r="E26" i="5"/>
  <c r="O26" i="5" s="1"/>
  <c r="G38" i="5"/>
  <c r="F38" i="5"/>
  <c r="F40" i="5"/>
  <c r="G41" i="5"/>
  <c r="F42" i="5"/>
  <c r="E42" i="5" s="1"/>
  <c r="P42" i="5"/>
  <c r="F43" i="5"/>
  <c r="G45" i="5"/>
  <c r="F45" i="5" s="1"/>
  <c r="G46" i="5"/>
  <c r="F46" i="5" s="1"/>
  <c r="F82" i="5"/>
  <c r="E82" i="5" s="1"/>
  <c r="Q82" i="5" s="1"/>
  <c r="F83" i="5"/>
  <c r="F84" i="5"/>
  <c r="F85" i="5"/>
  <c r="F86" i="5"/>
  <c r="E86" i="5" s="1"/>
  <c r="F87" i="5"/>
  <c r="F88" i="5"/>
  <c r="F89" i="5"/>
  <c r="E90" i="5"/>
  <c r="I13" i="5"/>
  <c r="K16" i="5"/>
  <c r="K20" i="5"/>
  <c r="I20" i="5" s="1"/>
  <c r="J38" i="5"/>
  <c r="J40" i="5"/>
  <c r="I40" i="5" s="1"/>
  <c r="E40" i="5" s="1"/>
  <c r="P40" i="5" s="1"/>
  <c r="J45" i="5"/>
  <c r="I45" i="5" s="1"/>
  <c r="I46" i="5"/>
  <c r="I48" i="5"/>
  <c r="E48" i="5" s="1"/>
  <c r="P48" i="5" s="1"/>
  <c r="I82" i="5"/>
  <c r="I83" i="5"/>
  <c r="I84" i="5"/>
  <c r="I85" i="5"/>
  <c r="I86" i="5"/>
  <c r="I87" i="5"/>
  <c r="I88" i="5"/>
  <c r="I89" i="5"/>
  <c r="I90" i="5"/>
  <c r="L16" i="5"/>
  <c r="N20" i="5"/>
  <c r="L21" i="5"/>
  <c r="E21" i="5" s="1"/>
  <c r="M45" i="5"/>
  <c r="L45" i="5" s="1"/>
  <c r="E45" i="5" s="1"/>
  <c r="P45" i="5" s="1"/>
  <c r="M46" i="5"/>
  <c r="L46" i="5" s="1"/>
  <c r="E46" i="5" s="1"/>
  <c r="P46" i="5" s="1"/>
  <c r="L47" i="5"/>
  <c r="E47" i="5" s="1"/>
  <c r="P47" i="5" s="1"/>
  <c r="L82" i="5"/>
  <c r="L83" i="5"/>
  <c r="L84" i="5"/>
  <c r="L85" i="5"/>
  <c r="L86" i="5"/>
  <c r="L87" i="5"/>
  <c r="E87" i="5" s="1"/>
  <c r="L88" i="5"/>
  <c r="L89" i="5"/>
  <c r="E89" i="5" s="1"/>
  <c r="L90" i="5"/>
  <c r="M10" i="5"/>
  <c r="E12" i="5"/>
  <c r="E14" i="5"/>
  <c r="E15" i="5"/>
  <c r="E17" i="5"/>
  <c r="E18" i="5"/>
  <c r="E19" i="5"/>
  <c r="E22" i="5"/>
  <c r="E23" i="5"/>
  <c r="E24" i="5"/>
  <c r="E25" i="5"/>
  <c r="D94" i="5"/>
  <c r="D92" i="5" s="1"/>
  <c r="O27" i="5"/>
  <c r="P27" i="5"/>
  <c r="O28" i="5"/>
  <c r="P28" i="5"/>
  <c r="E29" i="5"/>
  <c r="J29" i="5"/>
  <c r="E30" i="5"/>
  <c r="O30" i="5" s="1"/>
  <c r="E31" i="5"/>
  <c r="E32" i="5"/>
  <c r="O32" i="5"/>
  <c r="P32" i="5"/>
  <c r="E33" i="5"/>
  <c r="O33" i="5" s="1"/>
  <c r="E34" i="5"/>
  <c r="O34" i="5"/>
  <c r="H35" i="5"/>
  <c r="K35" i="5"/>
  <c r="M35" i="5"/>
  <c r="N35" i="5"/>
  <c r="E36" i="5"/>
  <c r="P36" i="5" s="1"/>
  <c r="E37" i="5"/>
  <c r="P37" i="5" s="1"/>
  <c r="E39" i="5"/>
  <c r="O39" i="5" s="1"/>
  <c r="E43" i="5"/>
  <c r="P43" i="5" s="1"/>
  <c r="E44" i="5"/>
  <c r="O44" i="5" s="1"/>
  <c r="O49" i="5"/>
  <c r="P49" i="5"/>
  <c r="O50" i="5"/>
  <c r="P50" i="5"/>
  <c r="E51" i="5"/>
  <c r="O51" i="5" s="1"/>
  <c r="E53" i="5"/>
  <c r="P53" i="5" s="1"/>
  <c r="E54" i="5"/>
  <c r="E55" i="5"/>
  <c r="P55" i="5" s="1"/>
  <c r="F52" i="5"/>
  <c r="G52" i="5"/>
  <c r="H52" i="5"/>
  <c r="I52" i="5"/>
  <c r="J52" i="5"/>
  <c r="K52" i="5"/>
  <c r="L52" i="5"/>
  <c r="M52" i="5"/>
  <c r="N52" i="5"/>
  <c r="O53" i="5"/>
  <c r="F56" i="5"/>
  <c r="I56" i="5"/>
  <c r="L56" i="5"/>
  <c r="G56" i="5"/>
  <c r="H56" i="5"/>
  <c r="J56" i="5"/>
  <c r="K56" i="5"/>
  <c r="M56" i="5"/>
  <c r="E57" i="5"/>
  <c r="O57" i="5" s="1"/>
  <c r="E58" i="5"/>
  <c r="O58" i="5" s="1"/>
  <c r="P58" i="5"/>
  <c r="E59" i="5"/>
  <c r="O59" i="5" s="1"/>
  <c r="E60" i="5"/>
  <c r="O60" i="5"/>
  <c r="E61" i="5"/>
  <c r="P61" i="5" s="1"/>
  <c r="E62" i="5"/>
  <c r="O62" i="5" s="1"/>
  <c r="E63" i="5"/>
  <c r="P63" i="5" s="1"/>
  <c r="E64" i="5"/>
  <c r="E65" i="5"/>
  <c r="O65" i="5" s="1"/>
  <c r="E66" i="5"/>
  <c r="O66" i="5" s="1"/>
  <c r="E68" i="5"/>
  <c r="P68" i="5" s="1"/>
  <c r="E69" i="5"/>
  <c r="P69" i="5" s="1"/>
  <c r="E70" i="5"/>
  <c r="P70" i="5" s="1"/>
  <c r="F67" i="5"/>
  <c r="G67" i="5"/>
  <c r="H67" i="5"/>
  <c r="I67" i="5"/>
  <c r="J67" i="5"/>
  <c r="L67" i="5"/>
  <c r="M67" i="5"/>
  <c r="O70" i="5"/>
  <c r="E71" i="5"/>
  <c r="E72" i="5"/>
  <c r="E73" i="5"/>
  <c r="E74" i="5"/>
  <c r="E75" i="5"/>
  <c r="O76" i="5"/>
  <c r="P76" i="5"/>
  <c r="Q78" i="5"/>
  <c r="Q79" i="5"/>
  <c r="G81" i="5"/>
  <c r="G80" i="5" s="1"/>
  <c r="J81" i="5"/>
  <c r="J80" i="5" s="1"/>
  <c r="K81" i="5"/>
  <c r="K80" i="5" s="1"/>
  <c r="R80" i="5" s="1"/>
  <c r="M81" i="5"/>
  <c r="M80" i="5" s="1"/>
  <c r="N81" i="5"/>
  <c r="N80" i="5" s="1"/>
  <c r="E88" i="5"/>
  <c r="F91" i="5"/>
  <c r="E91" i="5" s="1"/>
  <c r="C94" i="5"/>
  <c r="C92" i="5" s="1"/>
  <c r="F94" i="5"/>
  <c r="F92" i="5" s="1"/>
  <c r="I94" i="5"/>
  <c r="I92" i="5" s="1"/>
  <c r="L94" i="5"/>
  <c r="L92" i="5" s="1"/>
  <c r="G92" i="5"/>
  <c r="H92" i="5"/>
  <c r="J92" i="5"/>
  <c r="K92" i="5"/>
  <c r="M92" i="5"/>
  <c r="E93" i="5"/>
  <c r="Q93" i="5" s="1"/>
  <c r="E95" i="5"/>
  <c r="T96" i="5"/>
  <c r="G98" i="5"/>
  <c r="H98" i="5"/>
  <c r="J98" i="5"/>
  <c r="K98" i="5"/>
  <c r="F11" i="4"/>
  <c r="F20" i="4"/>
  <c r="F29" i="4"/>
  <c r="F36" i="4"/>
  <c r="F63" i="4"/>
  <c r="F70" i="4"/>
  <c r="F77" i="4"/>
  <c r="F80" i="4"/>
  <c r="F84" i="4"/>
  <c r="F87" i="4"/>
  <c r="E11" i="4"/>
  <c r="G11" i="4"/>
  <c r="H11" i="4"/>
  <c r="E20" i="4"/>
  <c r="G20" i="4"/>
  <c r="H20" i="4"/>
  <c r="E29" i="4"/>
  <c r="G29" i="4"/>
  <c r="H29" i="4"/>
  <c r="E36" i="4"/>
  <c r="H36" i="4"/>
  <c r="D52" i="4"/>
  <c r="D53" i="4"/>
  <c r="D54" i="4"/>
  <c r="I54" i="4" s="1"/>
  <c r="D55" i="4"/>
  <c r="I55" i="4" s="1"/>
  <c r="D56" i="4"/>
  <c r="I56" i="4" s="1"/>
  <c r="D43" i="4"/>
  <c r="J43" i="4" s="1"/>
  <c r="C12" i="4"/>
  <c r="C14" i="4"/>
  <c r="C16" i="4"/>
  <c r="J16" i="4" s="1"/>
  <c r="C19" i="4"/>
  <c r="C20" i="4"/>
  <c r="C29" i="4"/>
  <c r="C36" i="4"/>
  <c r="C54" i="4"/>
  <c r="C84" i="4"/>
  <c r="C87" i="4"/>
  <c r="C93" i="4"/>
  <c r="C91" i="4" s="1"/>
  <c r="C90" i="4" s="1"/>
  <c r="B11" i="4"/>
  <c r="B20" i="4"/>
  <c r="B29" i="4"/>
  <c r="B36" i="4"/>
  <c r="B48" i="4"/>
  <c r="B57" i="4"/>
  <c r="B70" i="4"/>
  <c r="B77" i="4"/>
  <c r="B80" i="4"/>
  <c r="B84" i="4"/>
  <c r="B87" i="4"/>
  <c r="B93" i="4"/>
  <c r="B91" i="4" s="1"/>
  <c r="B90" i="4" s="1"/>
  <c r="D71" i="4"/>
  <c r="K71" i="4" s="1"/>
  <c r="D72" i="4"/>
  <c r="I72" i="4" s="1"/>
  <c r="D73" i="4"/>
  <c r="K73" i="4" s="1"/>
  <c r="D74" i="4"/>
  <c r="I74" i="4" s="1"/>
  <c r="D75" i="4"/>
  <c r="D76" i="4"/>
  <c r="E77" i="4"/>
  <c r="G77" i="4"/>
  <c r="H77" i="4"/>
  <c r="D77" i="4" s="1"/>
  <c r="E80" i="4"/>
  <c r="G80" i="4"/>
  <c r="H80" i="4"/>
  <c r="E84" i="4"/>
  <c r="D84" i="4" s="1"/>
  <c r="E87" i="4"/>
  <c r="G84" i="4"/>
  <c r="G87" i="4"/>
  <c r="G83" i="4"/>
  <c r="H84" i="4"/>
  <c r="H87" i="4"/>
  <c r="E93" i="4"/>
  <c r="E91" i="4" s="1"/>
  <c r="E90" i="4" s="1"/>
  <c r="G91" i="4"/>
  <c r="G90" i="4" s="1"/>
  <c r="H93" i="4"/>
  <c r="H91" i="4" s="1"/>
  <c r="H90" i="4" s="1"/>
  <c r="D121" i="4"/>
  <c r="E63" i="4"/>
  <c r="E70" i="4"/>
  <c r="G63" i="4"/>
  <c r="G70" i="4"/>
  <c r="H63" i="4"/>
  <c r="H70" i="4"/>
  <c r="D13" i="4"/>
  <c r="K12" i="4"/>
  <c r="L13" i="4"/>
  <c r="I14" i="4"/>
  <c r="K14" i="4"/>
  <c r="L14" i="4"/>
  <c r="D15" i="4"/>
  <c r="K17" i="4"/>
  <c r="D18" i="4"/>
  <c r="J19" i="4"/>
  <c r="K19" i="4"/>
  <c r="L19" i="4"/>
  <c r="J21" i="4"/>
  <c r="M21" i="4"/>
  <c r="K22" i="4"/>
  <c r="K23" i="4"/>
  <c r="M23" i="4"/>
  <c r="D24" i="4"/>
  <c r="M24" i="4"/>
  <c r="K26" i="4"/>
  <c r="D27" i="4"/>
  <c r="K27" i="4" s="1"/>
  <c r="N27" i="4"/>
  <c r="J28" i="4"/>
  <c r="N29" i="4"/>
  <c r="N30" i="4" s="1"/>
  <c r="I30" i="4"/>
  <c r="K30" i="4"/>
  <c r="K31" i="4"/>
  <c r="I33" i="4"/>
  <c r="J33" i="4"/>
  <c r="K33" i="4"/>
  <c r="I38" i="4"/>
  <c r="J38" i="4"/>
  <c r="K38" i="4"/>
  <c r="K39" i="4"/>
  <c r="I40" i="4"/>
  <c r="I45" i="4"/>
  <c r="J46" i="4"/>
  <c r="K46" i="4"/>
  <c r="I47" i="4"/>
  <c r="D49" i="4"/>
  <c r="I49" i="4" s="1"/>
  <c r="K50" i="4"/>
  <c r="I51" i="4"/>
  <c r="I52" i="4"/>
  <c r="D58" i="4"/>
  <c r="K58" i="4" s="1"/>
  <c r="D59" i="4"/>
  <c r="K59" i="4" s="1"/>
  <c r="D60" i="4"/>
  <c r="K60" i="4" s="1"/>
  <c r="D61" i="4"/>
  <c r="D62" i="4"/>
  <c r="K62" i="4" s="1"/>
  <c r="D66" i="4"/>
  <c r="I66" i="4" s="1"/>
  <c r="I67" i="4"/>
  <c r="K68" i="4"/>
  <c r="I69" i="4"/>
  <c r="K72" i="4"/>
  <c r="L74" i="4"/>
  <c r="C77" i="4"/>
  <c r="D78" i="4"/>
  <c r="D79" i="4"/>
  <c r="C80" i="4"/>
  <c r="D81" i="4"/>
  <c r="D82" i="4"/>
  <c r="D85" i="4"/>
  <c r="D86" i="4"/>
  <c r="D88" i="4"/>
  <c r="D89" i="4"/>
  <c r="L89" i="4"/>
  <c r="M97" i="4"/>
  <c r="D99" i="4"/>
  <c r="K100" i="4"/>
  <c r="D101" i="4"/>
  <c r="K101" i="4" s="1"/>
  <c r="D102" i="4"/>
  <c r="K102" i="4" s="1"/>
  <c r="B103" i="4"/>
  <c r="C103" i="4"/>
  <c r="D105" i="4"/>
  <c r="K105" i="4" s="1"/>
  <c r="D106" i="4"/>
  <c r="D108" i="4"/>
  <c r="D109" i="4"/>
  <c r="K109" i="4" s="1"/>
  <c r="D110" i="4"/>
  <c r="D111" i="4"/>
  <c r="K111" i="4" s="1"/>
  <c r="D112" i="4"/>
  <c r="E107" i="4"/>
  <c r="E103" i="4" s="1"/>
  <c r="F107" i="4"/>
  <c r="F103" i="4" s="1"/>
  <c r="G107" i="4"/>
  <c r="G103" i="4" s="1"/>
  <c r="H107" i="4"/>
  <c r="H103" i="4" s="1"/>
  <c r="K110" i="4"/>
  <c r="B115" i="4"/>
  <c r="B113" i="4" s="1"/>
  <c r="C115" i="4"/>
  <c r="C113" i="4" s="1"/>
  <c r="E115" i="4"/>
  <c r="E113" i="4" s="1"/>
  <c r="F116" i="4"/>
  <c r="D116" i="4" s="1"/>
  <c r="K116" i="4" s="1"/>
  <c r="G115" i="4"/>
  <c r="G113" i="4" s="1"/>
  <c r="H115" i="4"/>
  <c r="H113" i="4" s="1"/>
  <c r="D119" i="4"/>
  <c r="K119" i="4" s="1"/>
  <c r="D114" i="4"/>
  <c r="K114" i="4" s="1"/>
  <c r="D117" i="4"/>
  <c r="K117" i="4" s="1"/>
  <c r="D118" i="4"/>
  <c r="B9" i="11"/>
  <c r="B11" i="11"/>
  <c r="B12" i="11"/>
  <c r="B14" i="11"/>
  <c r="B15" i="11"/>
  <c r="B16" i="11"/>
  <c r="B17" i="11"/>
  <c r="B18" i="11"/>
  <c r="B19" i="11"/>
  <c r="B20" i="11"/>
  <c r="B21" i="11"/>
  <c r="B22" i="11"/>
  <c r="B23" i="11"/>
  <c r="B24" i="11"/>
  <c r="B25" i="11"/>
  <c r="D10" i="11"/>
  <c r="C12" i="16"/>
  <c r="C13" i="16"/>
  <c r="C14" i="16"/>
  <c r="C18" i="16"/>
  <c r="C19" i="16"/>
  <c r="C20" i="16"/>
  <c r="C21" i="16"/>
  <c r="E10" i="15"/>
  <c r="B10" i="15" s="1"/>
  <c r="B12" i="15"/>
  <c r="H13" i="15"/>
  <c r="B17" i="15"/>
  <c r="B16" i="15" s="1"/>
  <c r="C16" i="15"/>
  <c r="E94" i="5"/>
  <c r="O69" i="5"/>
  <c r="P60" i="5"/>
  <c r="P51" i="5"/>
  <c r="P34" i="5"/>
  <c r="O31" i="5"/>
  <c r="E13" i="5"/>
  <c r="O73" i="5"/>
  <c r="O72" i="5"/>
  <c r="O71" i="5"/>
  <c r="D21" i="7"/>
  <c r="AO21" i="7" s="1"/>
  <c r="F23" i="1"/>
  <c r="E42" i="1"/>
  <c r="I43" i="1"/>
  <c r="G39" i="3"/>
  <c r="E13" i="3"/>
  <c r="H29" i="3"/>
  <c r="E15" i="2"/>
  <c r="AK13" i="7"/>
  <c r="G18" i="7"/>
  <c r="I27" i="1"/>
  <c r="N25" i="1" s="1"/>
  <c r="N9" i="1"/>
  <c r="N10" i="1" s="1"/>
  <c r="E50" i="3"/>
  <c r="K44" i="4" l="1"/>
  <c r="J23" i="4"/>
  <c r="J12" i="4"/>
  <c r="D80" i="4"/>
  <c r="E84" i="5"/>
  <c r="AN17" i="7"/>
  <c r="D17" i="7" s="1"/>
  <c r="AO17" i="7" s="1"/>
  <c r="L105" i="4"/>
  <c r="K49" i="4"/>
  <c r="I12" i="4"/>
  <c r="H83" i="4"/>
  <c r="D11" i="4"/>
  <c r="I11" i="4" s="1"/>
  <c r="E10" i="4"/>
  <c r="E9" i="4" s="1"/>
  <c r="O61" i="5"/>
  <c r="P59" i="5"/>
  <c r="E7" i="1"/>
  <c r="C8" i="1"/>
  <c r="I8" i="1"/>
  <c r="C83" i="4"/>
  <c r="C11" i="4"/>
  <c r="C10" i="4" s="1"/>
  <c r="C9" i="4" s="1"/>
  <c r="O82" i="5"/>
  <c r="P75" i="5"/>
  <c r="O75" i="5"/>
  <c r="P66" i="5"/>
  <c r="O63" i="5"/>
  <c r="P39" i="5"/>
  <c r="P30" i="5"/>
  <c r="R37" i="5"/>
  <c r="AN20" i="7"/>
  <c r="D15" i="7"/>
  <c r="AO15" i="7" s="1"/>
  <c r="E52" i="3"/>
  <c r="D44" i="3"/>
  <c r="C12" i="3"/>
  <c r="G8" i="3" s="1"/>
  <c r="E12" i="3"/>
  <c r="F34" i="3"/>
  <c r="E57" i="3"/>
  <c r="D60" i="3"/>
  <c r="E60" i="3" s="1"/>
  <c r="G25" i="2"/>
  <c r="G16" i="2"/>
  <c r="D19" i="2"/>
  <c r="G19" i="2" s="1"/>
  <c r="E51" i="2"/>
  <c r="I15" i="2"/>
  <c r="I34" i="2"/>
  <c r="G12" i="2"/>
  <c r="F12" i="2"/>
  <c r="C44" i="3"/>
  <c r="G17" i="2"/>
  <c r="I20" i="2"/>
  <c r="K74" i="4"/>
  <c r="F10" i="4"/>
  <c r="N11" i="4" s="1"/>
  <c r="N15" i="4" s="1"/>
  <c r="J30" i="4"/>
  <c r="M19" i="4"/>
  <c r="E9" i="15"/>
  <c r="B9" i="15" s="1"/>
  <c r="B13" i="11"/>
  <c r="B10" i="11" s="1"/>
  <c r="E35" i="3"/>
  <c r="H29" i="2"/>
  <c r="H25" i="2" s="1"/>
  <c r="G13" i="3"/>
  <c r="K11" i="4"/>
  <c r="C98" i="5"/>
  <c r="R4" i="5"/>
  <c r="F115" i="4"/>
  <c r="D115" i="4" s="1"/>
  <c r="K115" i="4" s="1"/>
  <c r="L15" i="4"/>
  <c r="P31" i="5"/>
  <c r="Q31" i="5"/>
  <c r="P29" i="5"/>
  <c r="O29" i="5"/>
  <c r="H48" i="4"/>
  <c r="H10" i="4" s="1"/>
  <c r="H9" i="4" s="1"/>
  <c r="D63" i="4"/>
  <c r="K63" i="4" s="1"/>
  <c r="B83" i="4"/>
  <c r="O68" i="5"/>
  <c r="E67" i="5"/>
  <c r="O55" i="5"/>
  <c r="J47" i="4"/>
  <c r="I7" i="1"/>
  <c r="K106" i="4"/>
  <c r="E92" i="5"/>
  <c r="Q92" i="5" s="1"/>
  <c r="L20" i="5"/>
  <c r="L10" i="5" s="1"/>
  <c r="L9" i="5" s="1"/>
  <c r="N10" i="5"/>
  <c r="I81" i="5"/>
  <c r="I80" i="5" s="1"/>
  <c r="I16" i="5"/>
  <c r="E16" i="5" s="1"/>
  <c r="K10" i="5"/>
  <c r="P26" i="5"/>
  <c r="E14" i="7"/>
  <c r="AN14" i="7"/>
  <c r="F83" i="4"/>
  <c r="E22" i="7"/>
  <c r="H22" i="7" s="1"/>
  <c r="AN22" i="7"/>
  <c r="C19" i="2"/>
  <c r="J39" i="2"/>
  <c r="F91" i="4"/>
  <c r="F90" i="4" s="1"/>
  <c r="D93" i="4"/>
  <c r="G20" i="7"/>
  <c r="H20" i="7"/>
  <c r="H19" i="7"/>
  <c r="G19" i="7"/>
  <c r="T13" i="7"/>
  <c r="AN19" i="7"/>
  <c r="D19" i="7" s="1"/>
  <c r="AO19" i="7" s="1"/>
  <c r="E16" i="7"/>
  <c r="D16" i="7" s="1"/>
  <c r="AO16" i="7" s="1"/>
  <c r="AN16" i="7"/>
  <c r="D20" i="7"/>
  <c r="AO20" i="7" s="1"/>
  <c r="C8" i="4"/>
  <c r="M5" i="4" s="1"/>
  <c r="C120" i="4"/>
  <c r="E83" i="4"/>
  <c r="D87" i="4"/>
  <c r="D29" i="4"/>
  <c r="P73" i="5"/>
  <c r="Q73" i="5"/>
  <c r="P71" i="5"/>
  <c r="Q71" i="5"/>
  <c r="E56" i="5"/>
  <c r="P54" i="5"/>
  <c r="E52" i="5"/>
  <c r="O54" i="5"/>
  <c r="L81" i="5"/>
  <c r="L80" i="5" s="1"/>
  <c r="L35" i="5"/>
  <c r="E85" i="5"/>
  <c r="F81" i="5"/>
  <c r="F80" i="5" s="1"/>
  <c r="E83" i="5"/>
  <c r="F41" i="5"/>
  <c r="G35" i="5"/>
  <c r="R12" i="5"/>
  <c r="E20" i="5"/>
  <c r="D57" i="4"/>
  <c r="J57" i="4" s="1"/>
  <c r="K32" i="4"/>
  <c r="J31" i="4"/>
  <c r="N19" i="4"/>
  <c r="N20" i="4" s="1"/>
  <c r="K28" i="4"/>
  <c r="I25" i="4"/>
  <c r="K25" i="4"/>
  <c r="J14" i="4"/>
  <c r="I21" i="4"/>
  <c r="K21" i="4"/>
  <c r="H32" i="2"/>
  <c r="H30" i="2" s="1"/>
  <c r="D107" i="4"/>
  <c r="K108" i="4"/>
  <c r="I43" i="4"/>
  <c r="J11" i="4"/>
  <c r="D70" i="4"/>
  <c r="B10" i="4"/>
  <c r="B9" i="4" s="1"/>
  <c r="B8" i="4" s="1"/>
  <c r="B120" i="4" s="1"/>
  <c r="D20" i="4"/>
  <c r="O74" i="5"/>
  <c r="P74" i="5"/>
  <c r="P72" i="5"/>
  <c r="Q72" i="5"/>
  <c r="P67" i="5"/>
  <c r="O67" i="5"/>
  <c r="P65" i="5"/>
  <c r="O64" i="5"/>
  <c r="P64" i="5"/>
  <c r="P62" i="5"/>
  <c r="P57" i="5"/>
  <c r="P44" i="5"/>
  <c r="P33" i="5"/>
  <c r="I38" i="5"/>
  <c r="I35" i="5" s="1"/>
  <c r="J35" i="5"/>
  <c r="R35" i="5" s="1"/>
  <c r="R90" i="5"/>
  <c r="Q90" i="5"/>
  <c r="R25" i="5"/>
  <c r="R26" i="5" s="1"/>
  <c r="R24" i="5"/>
  <c r="D98" i="5"/>
  <c r="D108" i="5" s="1"/>
  <c r="J45" i="4"/>
  <c r="J44" i="4"/>
  <c r="M44" i="4"/>
  <c r="D42" i="4"/>
  <c r="G36" i="4"/>
  <c r="G10" i="4" s="1"/>
  <c r="J39" i="4"/>
  <c r="I37" i="4"/>
  <c r="K37" i="4"/>
  <c r="K35" i="4"/>
  <c r="I22" i="4"/>
  <c r="G21" i="7"/>
  <c r="H21" i="7"/>
  <c r="G15" i="7"/>
  <c r="H15" i="7"/>
  <c r="M14" i="7"/>
  <c r="M13" i="7" s="1"/>
  <c r="O13" i="7"/>
  <c r="D22" i="7"/>
  <c r="AO22" i="7" s="1"/>
  <c r="G22" i="7"/>
  <c r="D42" i="1"/>
  <c r="E23" i="1"/>
  <c r="E33" i="3"/>
  <c r="G38" i="3"/>
  <c r="G33" i="3"/>
  <c r="I33" i="3" s="1"/>
  <c r="C16" i="1"/>
  <c r="G16" i="3"/>
  <c r="G18" i="3" s="1"/>
  <c r="F15" i="3"/>
  <c r="I10" i="5" l="1"/>
  <c r="F113" i="4"/>
  <c r="D113" i="4" s="1"/>
  <c r="K113" i="4" s="1"/>
  <c r="D83" i="4"/>
  <c r="AN13" i="7"/>
  <c r="D65" i="3"/>
  <c r="G60" i="3" s="1"/>
  <c r="G54" i="3"/>
  <c r="H55" i="3" s="1"/>
  <c r="G50" i="3"/>
  <c r="G44" i="3"/>
  <c r="H31" i="3" s="1"/>
  <c r="D15" i="2"/>
  <c r="F19" i="2"/>
  <c r="P7" i="1"/>
  <c r="D7" i="1"/>
  <c r="M8" i="1"/>
  <c r="F9" i="4"/>
  <c r="M17" i="4"/>
  <c r="H8" i="4"/>
  <c r="M7" i="4" s="1"/>
  <c r="H120" i="4"/>
  <c r="G25" i="3"/>
  <c r="C15" i="2"/>
  <c r="I23" i="2"/>
  <c r="D48" i="4"/>
  <c r="J48" i="4" s="1"/>
  <c r="G14" i="7"/>
  <c r="G13" i="7" s="1"/>
  <c r="H14" i="7"/>
  <c r="R16" i="5"/>
  <c r="R18" i="5" s="1"/>
  <c r="R7" i="5"/>
  <c r="L8" i="5"/>
  <c r="L98" i="5" s="1"/>
  <c r="H48" i="3"/>
  <c r="G22" i="3"/>
  <c r="H18" i="3"/>
  <c r="E47" i="3"/>
  <c r="D91" i="4"/>
  <c r="H16" i="7"/>
  <c r="H13" i="7" s="1"/>
  <c r="G16" i="7"/>
  <c r="E13" i="7"/>
  <c r="M23" i="1"/>
  <c r="D14" i="7"/>
  <c r="AO14" i="7" s="1"/>
  <c r="K42" i="4"/>
  <c r="J42" i="4"/>
  <c r="K20" i="4"/>
  <c r="I20" i="4"/>
  <c r="J20" i="4"/>
  <c r="E81" i="5"/>
  <c r="O83" i="5"/>
  <c r="P52" i="5"/>
  <c r="O52" i="5"/>
  <c r="O56" i="5"/>
  <c r="P56" i="5"/>
  <c r="J29" i="4"/>
  <c r="K29" i="4"/>
  <c r="I29" i="4"/>
  <c r="M25" i="4"/>
  <c r="N25" i="4" s="1"/>
  <c r="G9" i="4"/>
  <c r="I9" i="5"/>
  <c r="I8" i="5" s="1"/>
  <c r="I98" i="5" s="1"/>
  <c r="I104" i="5" s="1"/>
  <c r="E10" i="5"/>
  <c r="D36" i="4"/>
  <c r="D10" i="4" s="1"/>
  <c r="N10" i="4" s="1"/>
  <c r="N13" i="4" s="1"/>
  <c r="N16" i="4" s="1"/>
  <c r="I70" i="4"/>
  <c r="K70" i="4"/>
  <c r="L71" i="4"/>
  <c r="J70" i="4"/>
  <c r="D103" i="4"/>
  <c r="K107" i="4"/>
  <c r="J107" i="4"/>
  <c r="K57" i="4"/>
  <c r="E38" i="5"/>
  <c r="F35" i="5"/>
  <c r="E41" i="5"/>
  <c r="P41" i="5" s="1"/>
  <c r="E80" i="5"/>
  <c r="E120" i="4"/>
  <c r="E8" i="4"/>
  <c r="Q80" i="5" l="1"/>
  <c r="O80" i="5"/>
  <c r="P80" i="5"/>
  <c r="L113" i="4"/>
  <c r="S98" i="5"/>
  <c r="L104" i="5"/>
  <c r="H112" i="30"/>
  <c r="F113" i="28"/>
  <c r="F108" i="5"/>
  <c r="E35" i="5"/>
  <c r="O35" i="5" s="1"/>
  <c r="F8" i="5"/>
  <c r="F120" i="4"/>
  <c r="J120" i="4" s="1"/>
  <c r="J10" i="2"/>
  <c r="D50" i="2"/>
  <c r="I17" i="2"/>
  <c r="G15" i="2"/>
  <c r="F15" i="2"/>
  <c r="D23" i="1"/>
  <c r="C23" i="1" s="1"/>
  <c r="L5" i="4"/>
  <c r="C42" i="1"/>
  <c r="C7" i="1"/>
  <c r="M7" i="1"/>
  <c r="F8" i="4"/>
  <c r="F128" i="4" s="1"/>
  <c r="J17" i="2"/>
  <c r="I22" i="2"/>
  <c r="L48" i="4"/>
  <c r="K48" i="4"/>
  <c r="I48" i="4"/>
  <c r="E45" i="3"/>
  <c r="F13" i="3"/>
  <c r="H13" i="3"/>
  <c r="H12" i="3"/>
  <c r="D90" i="4"/>
  <c r="J10" i="4"/>
  <c r="I10" i="4"/>
  <c r="D9" i="4"/>
  <c r="N8" i="4" s="1"/>
  <c r="L10" i="4"/>
  <c r="K9" i="4"/>
  <c r="K10" i="4"/>
  <c r="Q35" i="5"/>
  <c r="K103" i="4"/>
  <c r="J103" i="4"/>
  <c r="G8" i="4"/>
  <c r="G120" i="4"/>
  <c r="O81" i="5"/>
  <c r="P81" i="5"/>
  <c r="P38" i="5"/>
  <c r="O38" i="5"/>
  <c r="J36" i="4"/>
  <c r="K36" i="4"/>
  <c r="L37" i="4"/>
  <c r="I36" i="4"/>
  <c r="R104" i="5"/>
  <c r="E9" i="5"/>
  <c r="D13" i="7"/>
  <c r="AO13" i="7" s="1"/>
  <c r="G136" i="4" l="1"/>
  <c r="M6" i="4"/>
  <c r="P35" i="5"/>
  <c r="D25" i="1"/>
  <c r="M3" i="4"/>
  <c r="O1" i="4"/>
  <c r="C37" i="1"/>
  <c r="C38" i="1" s="1"/>
  <c r="E35" i="1"/>
  <c r="B44" i="1"/>
  <c r="B45" i="1" s="1"/>
  <c r="B47" i="1" s="1"/>
  <c r="P8" i="1"/>
  <c r="R8" i="1" s="1"/>
  <c r="G45" i="3"/>
  <c r="I12" i="3" s="1"/>
  <c r="F44" i="3"/>
  <c r="F43" i="3" s="1"/>
  <c r="H50" i="3"/>
  <c r="E44" i="3"/>
  <c r="H44" i="3"/>
  <c r="I44" i="3" s="1"/>
  <c r="H51" i="3"/>
  <c r="G12" i="3"/>
  <c r="F134" i="4"/>
  <c r="F136" i="4" s="1"/>
  <c r="F138" i="4" s="1"/>
  <c r="R8" i="5"/>
  <c r="R9" i="5" s="1"/>
  <c r="F98" i="5"/>
  <c r="E8" i="5"/>
  <c r="P9" i="5"/>
  <c r="Q9" i="5"/>
  <c r="O9" i="5"/>
  <c r="J9" i="4"/>
  <c r="D120" i="4"/>
  <c r="D8" i="4"/>
  <c r="G112" i="30" s="1"/>
  <c r="G113" i="30" s="1"/>
  <c r="I9" i="4"/>
  <c r="O14" i="4"/>
  <c r="N9" i="4"/>
  <c r="E113" i="28" l="1"/>
  <c r="E114" i="28" s="1"/>
  <c r="E103" i="5"/>
  <c r="F106" i="5"/>
  <c r="L2" i="4"/>
  <c r="E108" i="5"/>
  <c r="D127" i="4"/>
  <c r="F130" i="4" s="1"/>
  <c r="F131" i="4"/>
  <c r="G132" i="4" s="1"/>
  <c r="B35" i="1"/>
  <c r="C36" i="1"/>
  <c r="E98" i="5"/>
  <c r="E105" i="5" s="1"/>
  <c r="E107" i="5" s="1"/>
  <c r="G41" i="3"/>
  <c r="M8" i="4"/>
  <c r="L134" i="4"/>
  <c r="L135" i="4" s="1"/>
  <c r="I8" i="4"/>
  <c r="J8" i="4"/>
  <c r="Q8" i="5"/>
  <c r="P8" i="5"/>
  <c r="O8" i="5"/>
  <c r="R14" i="5"/>
  <c r="E109" i="5" l="1"/>
  <c r="R108" i="5"/>
  <c r="H32" i="1"/>
  <c r="H33" i="1" s="1"/>
  <c r="P98" i="5"/>
  <c r="O98" i="5"/>
  <c r="G36" i="2"/>
  <c r="J15" i="2" l="1"/>
  <c r="I40" i="2"/>
  <c r="E50" i="2"/>
  <c r="H35" i="2"/>
  <c r="H36" i="2" s="1"/>
  <c r="G35" i="2"/>
  <c r="J32" i="2" l="1"/>
  <c r="I33" i="2"/>
  <c r="I42" i="2"/>
</calcChain>
</file>

<file path=xl/comments1.xml><?xml version="1.0" encoding="utf-8"?>
<comments xmlns="http://schemas.openxmlformats.org/spreadsheetml/2006/main">
  <authors>
    <author/>
    <author>THANH CHONG</author>
    <author>Dell 04</author>
  </authors>
  <commentList>
    <comment ref="J17" authorId="0" shapeId="0">
      <text>
        <r>
          <rPr>
            <b/>
            <sz val="9"/>
            <color indexed="8"/>
            <rFont val="Tahoma"/>
            <family val="2"/>
            <charset val="1"/>
          </rPr>
          <t xml:space="preserve">THANH CHONG:
</t>
        </r>
        <r>
          <rPr>
            <sz val="9"/>
            <color indexed="8"/>
            <rFont val="Tahoma"/>
            <family val="2"/>
            <charset val="1"/>
          </rPr>
          <t>hcsn chuyển nguồn thường xuyên thêm 6007,950</t>
        </r>
      </text>
    </comment>
    <comment ref="D18" authorId="1" shapeId="0">
      <text>
        <r>
          <rPr>
            <b/>
            <sz val="9"/>
            <color indexed="81"/>
            <rFont val="Tahoma"/>
            <family val="2"/>
          </rPr>
          <t>THANH CHONG:</t>
        </r>
        <r>
          <rPr>
            <sz val="9"/>
            <color indexed="81"/>
            <rFont val="Tahoma"/>
            <family val="2"/>
          </rPr>
          <t xml:space="preserve">
đã bao gồm số dự kiến bù hụt thu 273.600</t>
        </r>
      </text>
    </comment>
    <comment ref="D23" authorId="1" shapeId="0">
      <text>
        <r>
          <rPr>
            <b/>
            <sz val="9"/>
            <color indexed="81"/>
            <rFont val="Tahoma"/>
            <family val="2"/>
          </rPr>
          <t>THANH CHONG:</t>
        </r>
        <r>
          <rPr>
            <sz val="9"/>
            <color indexed="81"/>
            <rFont val="Tahoma"/>
            <family val="2"/>
          </rPr>
          <t xml:space="preserve">
 kết dư xskt và sdd (162501)</t>
        </r>
      </text>
    </comment>
    <comment ref="B32" authorId="1" shapeId="0">
      <text>
        <r>
          <rPr>
            <b/>
            <sz val="9"/>
            <color indexed="81"/>
            <rFont val="Tahoma"/>
            <family val="2"/>
          </rPr>
          <t>THANH CHONG:</t>
        </r>
        <r>
          <rPr>
            <sz val="9"/>
            <color indexed="81"/>
            <rFont val="Tahoma"/>
            <family val="2"/>
          </rPr>
          <t xml:space="preserve">
SỐ DƯ TỪ TRÁI PHIẾU CP</t>
        </r>
      </text>
    </comment>
    <comment ref="H32" authorId="2" shapeId="0">
      <text>
        <r>
          <rPr>
            <b/>
            <sz val="9"/>
            <color indexed="81"/>
            <rFont val="Tahoma"/>
            <family val="2"/>
          </rPr>
          <t>Dell 04:</t>
        </r>
        <r>
          <rPr>
            <sz val="9"/>
            <color indexed="81"/>
            <rFont val="Tahoma"/>
            <family val="2"/>
          </rPr>
          <t xml:space="preserve">
CHI TỈNH HUYEN XÃ</t>
        </r>
      </text>
    </comment>
    <comment ref="C37" authorId="2" shapeId="0">
      <text>
        <r>
          <rPr>
            <b/>
            <sz val="9"/>
            <color indexed="81"/>
            <rFont val="Tahoma"/>
            <family val="2"/>
          </rPr>
          <t>Dell 04:</t>
        </r>
        <r>
          <rPr>
            <sz val="9"/>
            <color indexed="81"/>
            <rFont val="Tahoma"/>
            <family val="2"/>
          </rPr>
          <t xml:space="preserve">
THU TINH HUYEN XA</t>
        </r>
      </text>
    </comment>
  </commentList>
</comments>
</file>

<file path=xl/comments10.xml><?xml version="1.0" encoding="utf-8"?>
<comments xmlns="http://schemas.openxmlformats.org/spreadsheetml/2006/main">
  <authors>
    <author>THANH CHONG</author>
  </authors>
  <commentList>
    <comment ref="S12" authorId="0" shapeId="0">
      <text>
        <r>
          <rPr>
            <b/>
            <sz val="9"/>
            <color indexed="81"/>
            <rFont val="Tahoma"/>
            <family val="2"/>
          </rPr>
          <t>THANH CHONG:</t>
        </r>
        <r>
          <rPr>
            <sz val="9"/>
            <color indexed="81"/>
            <rFont val="Tahoma"/>
            <family val="2"/>
          </rPr>
          <t xml:space="preserve">
giáo dục chi dau tư từ nguồn xổ số</t>
        </r>
      </text>
    </comment>
    <comment ref="U12" authorId="0" shapeId="0">
      <text>
        <r>
          <rPr>
            <b/>
            <sz val="9"/>
            <color indexed="81"/>
            <rFont val="Tahoma"/>
            <family val="2"/>
          </rPr>
          <t>THANH CHONG:</t>
        </r>
        <r>
          <rPr>
            <sz val="9"/>
            <color indexed="81"/>
            <rFont val="Tahoma"/>
            <family val="2"/>
          </rPr>
          <t xml:space="preserve">
dong gop huyen</t>
        </r>
      </text>
    </comment>
    <comment ref="V12" authorId="0" shapeId="0">
      <text>
        <r>
          <rPr>
            <b/>
            <sz val="9"/>
            <color indexed="81"/>
            <rFont val="Tahoma"/>
            <family val="2"/>
          </rPr>
          <t>THANH CHONG:</t>
        </r>
        <r>
          <rPr>
            <sz val="9"/>
            <color indexed="81"/>
            <rFont val="Tahoma"/>
            <family val="2"/>
          </rPr>
          <t xml:space="preserve">
dong gop xã trong b3-01</t>
        </r>
      </text>
    </comment>
    <comment ref="AB12" authorId="0" shapeId="0">
      <text>
        <r>
          <rPr>
            <b/>
            <sz val="9"/>
            <color indexed="81"/>
            <rFont val="Tahoma"/>
            <family val="2"/>
          </rPr>
          <t>THANH CHONG:</t>
        </r>
        <r>
          <rPr>
            <sz val="9"/>
            <color indexed="81"/>
            <rFont val="Tahoma"/>
            <family val="2"/>
          </rPr>
          <t xml:space="preserve">
GIÁO DỤC TX</t>
        </r>
      </text>
    </comment>
  </commentList>
</comments>
</file>

<file path=xl/comments11.xml><?xml version="1.0" encoding="utf-8"?>
<comments xmlns="http://schemas.openxmlformats.org/spreadsheetml/2006/main">
  <authors>
    <author>THANH CHONG</author>
  </authors>
  <commentList>
    <comment ref="D11" authorId="0" shapeId="0">
      <text>
        <r>
          <rPr>
            <b/>
            <sz val="9"/>
            <color indexed="81"/>
            <rFont val="Tahoma"/>
            <family val="2"/>
          </rPr>
          <t>THANH CHONG:</t>
        </r>
        <r>
          <rPr>
            <sz val="9"/>
            <color indexed="81"/>
            <rFont val="Tahoma"/>
            <family val="2"/>
          </rPr>
          <t xml:space="preserve">
bao gồm số chuyển nguồn năm 2016 sang 2017 thực hiện</t>
        </r>
      </text>
    </comment>
  </commentList>
</comments>
</file>

<file path=xl/comments12.xml><?xml version="1.0" encoding="utf-8"?>
<comments xmlns="http://schemas.openxmlformats.org/spreadsheetml/2006/main">
  <authors>
    <author/>
  </authors>
  <commentList>
    <comment ref="G11" authorId="0" shapeId="0">
      <text>
        <r>
          <rPr>
            <b/>
            <sz val="9"/>
            <color indexed="8"/>
            <rFont val="Tahoma"/>
            <family val="2"/>
            <charset val="1"/>
          </rPr>
          <t xml:space="preserve">THANH CHONG:
</t>
        </r>
        <r>
          <rPr>
            <sz val="9"/>
            <color indexed="8"/>
            <rFont val="Tahoma"/>
            <family val="2"/>
            <charset val="1"/>
          </rPr>
          <t>các chính sách phu cấp cho các xã khó khăn theo 116</t>
        </r>
      </text>
    </comment>
  </commentList>
</comments>
</file>

<file path=xl/comments2.xml><?xml version="1.0" encoding="utf-8"?>
<comments xmlns="http://schemas.openxmlformats.org/spreadsheetml/2006/main">
  <authors>
    <author>Dell 04</author>
    <author/>
    <author>THANH CHONG</author>
  </authors>
  <commentList>
    <comment ref="M4" authorId="0" shapeId="0">
      <text>
        <r>
          <rPr>
            <b/>
            <sz val="9"/>
            <color indexed="81"/>
            <rFont val="Tahoma"/>
            <family val="2"/>
          </rPr>
          <t>Dell 04:</t>
        </r>
        <r>
          <rPr>
            <sz val="9"/>
            <color indexed="81"/>
            <rFont val="Tahoma"/>
            <family val="2"/>
          </rPr>
          <t xml:space="preserve">
DỰ KIẾN TRUNG ƯƠNG BÙ HỤT THU CHO TỈNH</t>
        </r>
      </text>
    </comment>
    <comment ref="M9" authorId="0" shapeId="0">
      <text>
        <r>
          <rPr>
            <b/>
            <sz val="9"/>
            <color indexed="81"/>
            <rFont val="Tahoma"/>
            <family val="2"/>
          </rPr>
          <t>Dell 04:</t>
        </r>
        <r>
          <rPr>
            <sz val="9"/>
            <color indexed="81"/>
            <rFont val="Tahoma"/>
            <family val="2"/>
          </rPr>
          <t xml:space="preserve">
THU XÃ
</t>
        </r>
      </text>
    </comment>
    <comment ref="P15" authorId="1" shapeId="0">
      <text>
        <r>
          <rPr>
            <b/>
            <sz val="9"/>
            <color indexed="8"/>
            <rFont val="Tahoma"/>
            <family val="2"/>
            <charset val="1"/>
          </rPr>
          <t xml:space="preserve">THANH CHONG:
</t>
        </r>
        <r>
          <rPr>
            <sz val="9"/>
            <color indexed="8"/>
            <rFont val="Tahoma"/>
            <family val="2"/>
            <charset val="1"/>
          </rPr>
          <t>học phí</t>
        </r>
      </text>
    </comment>
    <comment ref="A47" authorId="1" shapeId="0">
      <text>
        <r>
          <rPr>
            <b/>
            <sz val="9"/>
            <color indexed="8"/>
            <rFont val="Tahoma"/>
            <family val="2"/>
            <charset val="1"/>
          </rPr>
          <t xml:space="preserve">ADMIN:
</t>
        </r>
        <r>
          <rPr>
            <sz val="9"/>
            <color indexed="8"/>
            <rFont val="Tahoma"/>
            <family val="2"/>
            <charset val="1"/>
          </rPr>
          <t>TRONG CÁC KHOẢN THU VỀ NHÀ ĐẤT</t>
        </r>
      </text>
    </comment>
    <comment ref="A53" authorId="1" shapeId="0">
      <text>
        <r>
          <rPr>
            <b/>
            <sz val="9"/>
            <color indexed="8"/>
            <rFont val="Tahoma"/>
            <family val="2"/>
            <charset val="1"/>
          </rPr>
          <t xml:space="preserve">ADMIN:
</t>
        </r>
        <r>
          <rPr>
            <sz val="9"/>
            <color indexed="8"/>
            <rFont val="Tahoma"/>
            <family val="2"/>
            <charset val="1"/>
          </rPr>
          <t>TRONG CÁC KHOẢN THU VỀ NHÀ ĐẤT</t>
        </r>
      </text>
    </comment>
    <comment ref="A54" authorId="1" shapeId="0">
      <text>
        <r>
          <rPr>
            <b/>
            <sz val="9"/>
            <color indexed="8"/>
            <rFont val="Tahoma"/>
            <family val="2"/>
            <charset val="1"/>
          </rPr>
          <t xml:space="preserve">ADMIN:
</t>
        </r>
        <r>
          <rPr>
            <sz val="9"/>
            <color indexed="8"/>
            <rFont val="Tahoma"/>
            <family val="2"/>
            <charset val="1"/>
          </rPr>
          <t>TRONG CÁC KHOAN THU VE NHA DAT</t>
        </r>
      </text>
    </comment>
    <comment ref="A55" authorId="1" shapeId="0">
      <text>
        <r>
          <rPr>
            <b/>
            <sz val="9"/>
            <color indexed="8"/>
            <rFont val="Tahoma"/>
            <family val="2"/>
            <charset val="1"/>
          </rPr>
          <t xml:space="preserve">ADMIN:
</t>
        </r>
        <r>
          <rPr>
            <sz val="9"/>
            <color indexed="8"/>
            <rFont val="Tahoma"/>
            <family val="2"/>
            <charset val="1"/>
          </rPr>
          <t>TRONG CÁC KHOAN THU VE NHA DAT</t>
        </r>
      </text>
    </comment>
    <comment ref="A56" authorId="1" shapeId="0">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G56" authorId="2" shapeId="0">
      <text>
        <r>
          <rPr>
            <b/>
            <sz val="9"/>
            <color indexed="81"/>
            <rFont val="Tahoma"/>
            <family val="2"/>
          </rPr>
          <t>THANH CHONG:</t>
        </r>
        <r>
          <rPr>
            <sz val="9"/>
            <color indexed="81"/>
            <rFont val="Tahoma"/>
            <family val="2"/>
          </rPr>
          <t xml:space="preserve">
có giảm 24230874657đ</t>
        </r>
      </text>
    </comment>
    <comment ref="A57" authorId="1" shapeId="0">
      <text>
        <r>
          <rPr>
            <b/>
            <sz val="9"/>
            <color indexed="8"/>
            <rFont val="Tahoma"/>
            <family val="2"/>
            <charset val="1"/>
          </rPr>
          <t xml:space="preserve">ADMIN:
</t>
        </r>
        <r>
          <rPr>
            <sz val="9"/>
            <color indexed="8"/>
            <rFont val="Tahoma"/>
            <family val="2"/>
            <charset val="1"/>
          </rPr>
          <t>TRONG THU TẠI XÃ</t>
        </r>
      </text>
    </comment>
    <comment ref="I67" authorId="1" shapeId="0">
      <text>
        <r>
          <rPr>
            <b/>
            <sz val="9"/>
            <color indexed="8"/>
            <rFont val="Tahoma"/>
            <family val="2"/>
            <charset val="1"/>
          </rPr>
          <t xml:space="preserve">luu y chyen len thu tai xa
</t>
        </r>
      </text>
    </comment>
    <comment ref="A79" authorId="1" shapeId="0">
      <text>
        <r>
          <rPr>
            <b/>
            <sz val="9"/>
            <color indexed="8"/>
            <rFont val="Tahoma"/>
            <family val="2"/>
            <charset val="1"/>
          </rPr>
          <t xml:space="preserve">ADMIN:
</t>
        </r>
        <r>
          <rPr>
            <sz val="9"/>
            <color indexed="8"/>
            <rFont val="Tahoma"/>
            <family val="2"/>
            <charset val="1"/>
          </rPr>
          <t>trong thu ql qua ns cũ</t>
        </r>
      </text>
    </comment>
    <comment ref="G96" authorId="2" shapeId="0">
      <text>
        <r>
          <rPr>
            <b/>
            <sz val="9"/>
            <color indexed="81"/>
            <rFont val="Tahoma"/>
            <family val="2"/>
          </rPr>
          <t>THANH CHONG:</t>
        </r>
        <r>
          <rPr>
            <sz val="9"/>
            <color indexed="81"/>
            <rFont val="Tahoma"/>
            <family val="2"/>
          </rPr>
          <t xml:space="preserve">
bù hụt thu 2017 273.600 triệu đồng</t>
        </r>
      </text>
    </comment>
    <comment ref="G118" authorId="1" shapeId="0">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G123" authorId="1" shapeId="0">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G140" authorId="1" shapeId="0">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3.xml><?xml version="1.0" encoding="utf-8"?>
<comments xmlns="http://schemas.openxmlformats.org/spreadsheetml/2006/main">
  <authors>
    <author/>
    <author>THANH CHONG</author>
    <author>Dell 04</author>
  </authors>
  <commentList>
    <comment ref="H23" authorId="0" shapeId="0">
      <text>
        <r>
          <rPr>
            <b/>
            <sz val="9"/>
            <color indexed="8"/>
            <rFont val="Tahoma"/>
            <family val="2"/>
            <charset val="1"/>
          </rPr>
          <t xml:space="preserve">THANH CHONG:
</t>
        </r>
        <r>
          <rPr>
            <sz val="9"/>
            <color indexed="8"/>
            <rFont val="Tahoma"/>
            <family val="2"/>
            <charset val="1"/>
          </rPr>
          <t>ODA</t>
        </r>
      </text>
    </comment>
    <comment ref="F29"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F32" authorId="0" shapeId="0">
      <text>
        <r>
          <rPr>
            <b/>
            <sz val="9"/>
            <color indexed="8"/>
            <rFont val="Tahoma"/>
            <family val="2"/>
            <charset val="1"/>
          </rPr>
          <t xml:space="preserve">Nhu:
</t>
        </r>
        <r>
          <rPr>
            <sz val="9"/>
            <color indexed="8"/>
            <rFont val="Tahoma"/>
            <family val="2"/>
            <charset val="1"/>
          </rPr>
          <t>-CTMT GD: 4.231,05
-XSKT: 182.168,29</t>
        </r>
      </text>
    </comment>
    <comment ref="F34" authorId="0" shapeId="0">
      <text>
        <r>
          <rPr>
            <b/>
            <sz val="9"/>
            <color indexed="8"/>
            <rFont val="Tahoma"/>
            <family val="2"/>
            <charset val="1"/>
          </rPr>
          <t xml:space="preserve">ADMIN:
</t>
        </r>
        <r>
          <rPr>
            <sz val="9"/>
            <color indexed="8"/>
            <rFont val="Tahoma"/>
            <family val="2"/>
            <charset val="1"/>
          </rPr>
          <t>CO GHI THU CHI VON DP</t>
        </r>
      </text>
    </comment>
    <comment ref="R51"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7" authorId="0" shapeId="0">
      <text>
        <r>
          <rPr>
            <sz val="8"/>
            <color indexed="8"/>
            <rFont val="Tahoma"/>
            <family val="2"/>
            <charset val="1"/>
          </rPr>
          <t>CT giảm nghèo</t>
        </r>
      </text>
    </comment>
    <comment ref="G70" authorId="0" shapeId="0">
      <text>
        <r>
          <rPr>
            <b/>
            <sz val="9"/>
            <color indexed="8"/>
            <rFont val="Tahoma"/>
            <family val="2"/>
            <charset val="1"/>
          </rPr>
          <t xml:space="preserve">THANH CHONG:
</t>
        </r>
        <r>
          <rPr>
            <sz val="9"/>
            <color indexed="8"/>
            <rFont val="Tahoma"/>
            <family val="2"/>
            <charset val="1"/>
          </rPr>
          <t>ghi chi nguon vien tro cho SOS</t>
        </r>
      </text>
    </comment>
    <comment ref="F76"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F81" authorId="1" shapeId="0">
      <text>
        <r>
          <rPr>
            <b/>
            <sz val="9"/>
            <color indexed="81"/>
            <rFont val="Tahoma"/>
            <family val="2"/>
          </rPr>
          <t>THANH CHONG:</t>
        </r>
        <r>
          <rPr>
            <sz val="9"/>
            <color indexed="81"/>
            <rFont val="Tahoma"/>
            <family val="2"/>
          </rPr>
          <t xml:space="preserve">
CHUYỂN NGUỒN CHỐT NGÀY 05112018</t>
        </r>
      </text>
    </comment>
    <comment ref="G96" authorId="0" shapeId="0">
      <text>
        <r>
          <rPr>
            <b/>
            <sz val="9"/>
            <color indexed="8"/>
            <rFont val="Tahoma"/>
            <family val="2"/>
            <charset val="1"/>
          </rPr>
          <t xml:space="preserve">THANH CHONG:
</t>
        </r>
        <r>
          <rPr>
            <sz val="9"/>
            <color indexed="8"/>
            <rFont val="Tahoma"/>
            <family val="2"/>
            <charset val="1"/>
          </rPr>
          <t>ghi thu ghi chi nguyon vien tro SOS</t>
        </r>
      </text>
    </comment>
    <comment ref="F103" authorId="1" shapeId="0">
      <text>
        <r>
          <rPr>
            <b/>
            <sz val="9"/>
            <color indexed="81"/>
            <rFont val="Tahoma"/>
            <family val="2"/>
          </rPr>
          <t>THANH CHONG:</t>
        </r>
        <r>
          <rPr>
            <sz val="9"/>
            <color indexed="81"/>
            <rFont val="Tahoma"/>
            <family val="2"/>
          </rPr>
          <t xml:space="preserve">
có chuyển nguồn cấp tỉnh</t>
        </r>
      </text>
    </comment>
    <comment ref="E108" authorId="2" shapeId="0">
      <text>
        <r>
          <rPr>
            <b/>
            <sz val="9"/>
            <color indexed="81"/>
            <rFont val="Tahoma"/>
            <family val="2"/>
          </rPr>
          <t>Dell 04:</t>
        </r>
        <r>
          <rPr>
            <sz val="9"/>
            <color indexed="81"/>
            <rFont val="Tahoma"/>
            <family val="2"/>
          </rPr>
          <t xml:space="preserve">
CHUYỂN NGUỒN NGÂN SÁCH TỈNH NĂM 2017</t>
        </r>
      </text>
    </comment>
    <comment ref="I108" authorId="2" shapeId="0">
      <text>
        <r>
          <rPr>
            <b/>
            <sz val="9"/>
            <color indexed="81"/>
            <rFont val="Tahoma"/>
            <family val="2"/>
          </rPr>
          <t>Dell 04:</t>
        </r>
        <r>
          <rPr>
            <sz val="9"/>
            <color indexed="81"/>
            <rFont val="Tahoma"/>
            <family val="2"/>
          </rPr>
          <t xml:space="preserve">
CHI HUYỆN</t>
        </r>
      </text>
    </comment>
  </commentList>
</comments>
</file>

<file path=xl/comments4.xml><?xml version="1.0" encoding="utf-8"?>
<comments xmlns="http://schemas.openxmlformats.org/spreadsheetml/2006/main">
  <authors>
    <author>THANH CHONG</author>
  </authors>
  <commentList>
    <comment ref="E26" authorId="0" shapeId="0">
      <text>
        <r>
          <rPr>
            <b/>
            <sz val="9"/>
            <color indexed="81"/>
            <rFont val="Tahoma"/>
            <family val="2"/>
          </rPr>
          <t>THANH CHONG:</t>
        </r>
        <r>
          <rPr>
            <sz val="9"/>
            <color indexed="81"/>
            <rFont val="Tahoma"/>
            <family val="2"/>
          </rPr>
          <t xml:space="preserve">
đã bao gồm bù hụt thu</t>
        </r>
      </text>
    </comment>
    <comment ref="I34" authorId="0" shapeId="0">
      <text>
        <r>
          <rPr>
            <b/>
            <sz val="9"/>
            <color indexed="81"/>
            <rFont val="Tahoma"/>
            <family val="2"/>
          </rPr>
          <t>THANH CHONG:</t>
        </r>
        <r>
          <rPr>
            <sz val="9"/>
            <color indexed="81"/>
            <rFont val="Tahoma"/>
            <family val="2"/>
          </rPr>
          <t xml:space="preserve">
kết dư địa phương</t>
        </r>
      </text>
    </comment>
  </commentList>
</comments>
</file>

<file path=xl/comments5.xml><?xml version="1.0" encoding="utf-8"?>
<comments xmlns="http://schemas.openxmlformats.org/spreadsheetml/2006/main">
  <authors>
    <author>THANH CHONG</author>
    <author/>
    <author>Dell 04</author>
  </authors>
  <commentList>
    <comment ref="D20" authorId="0" shapeId="0">
      <text>
        <r>
          <rPr>
            <b/>
            <sz val="9"/>
            <color indexed="81"/>
            <rFont val="Tahoma"/>
            <family val="2"/>
          </rPr>
          <t>THANH CHONG:</t>
        </r>
        <r>
          <rPr>
            <sz val="9"/>
            <color indexed="81"/>
            <rFont val="Tahoma"/>
            <family val="2"/>
          </rPr>
          <t xml:space="preserve">
đã bao gồm bht</t>
        </r>
      </text>
    </comment>
    <comment ref="G27" authorId="1" shapeId="0">
      <text>
        <r>
          <rPr>
            <b/>
            <sz val="9"/>
            <color indexed="8"/>
            <rFont val="Tahoma"/>
            <family val="2"/>
            <charset val="1"/>
          </rPr>
          <t xml:space="preserve">THANH CHONG:
</t>
        </r>
        <r>
          <rPr>
            <sz val="9"/>
            <color indexed="8"/>
            <rFont val="Tahoma"/>
            <family val="2"/>
            <charset val="1"/>
          </rPr>
          <t>kết dư tỉnh</t>
        </r>
      </text>
    </comment>
    <comment ref="G30" authorId="0" shapeId="0">
      <text>
        <r>
          <rPr>
            <b/>
            <sz val="9"/>
            <color indexed="81"/>
            <rFont val="Tahoma"/>
            <family val="2"/>
          </rPr>
          <t>THANH CHONG:</t>
        </r>
        <r>
          <rPr>
            <sz val="9"/>
            <color indexed="81"/>
            <rFont val="Tahoma"/>
            <family val="2"/>
          </rPr>
          <t xml:space="preserve">
kết dư tỉnh</t>
        </r>
      </text>
    </comment>
    <comment ref="G50" authorId="2" shapeId="0">
      <text>
        <r>
          <rPr>
            <b/>
            <sz val="9"/>
            <color indexed="81"/>
            <rFont val="Tahoma"/>
            <family val="2"/>
          </rPr>
          <t>Dell 04:</t>
        </r>
        <r>
          <rPr>
            <sz val="9"/>
            <color indexed="81"/>
            <rFont val="Tahoma"/>
            <family val="2"/>
          </rPr>
          <t xml:space="preserve">
kết dư huyện xã</t>
        </r>
      </text>
    </comment>
  </commentList>
</comments>
</file>

<file path=xl/comments6.xml><?xml version="1.0" encoding="utf-8"?>
<comments xmlns="http://schemas.openxmlformats.org/spreadsheetml/2006/main">
  <authors>
    <author>Dell 04</author>
    <author/>
    <author>THANH CHONG</author>
  </authors>
  <commentList>
    <comment ref="M4" authorId="0" shapeId="0">
      <text>
        <r>
          <rPr>
            <b/>
            <sz val="9"/>
            <color indexed="81"/>
            <rFont val="Tahoma"/>
            <family val="2"/>
          </rPr>
          <t>Dell 04:</t>
        </r>
        <r>
          <rPr>
            <sz val="9"/>
            <color indexed="81"/>
            <rFont val="Tahoma"/>
            <family val="2"/>
          </rPr>
          <t xml:space="preserve">
DỰ KIẾN TRUNG ƯƠNG BÙ HỤT THU CHO TỈNH</t>
        </r>
      </text>
    </comment>
    <comment ref="M9" authorId="0" shapeId="0">
      <text>
        <r>
          <rPr>
            <b/>
            <sz val="9"/>
            <color indexed="81"/>
            <rFont val="Tahoma"/>
            <family val="2"/>
          </rPr>
          <t>Dell 04:</t>
        </r>
        <r>
          <rPr>
            <sz val="9"/>
            <color indexed="81"/>
            <rFont val="Tahoma"/>
            <family val="2"/>
          </rPr>
          <t xml:space="preserve">
THU XÃ
</t>
        </r>
      </text>
    </comment>
    <comment ref="P15" authorId="1" shapeId="0">
      <text>
        <r>
          <rPr>
            <b/>
            <sz val="9"/>
            <color indexed="8"/>
            <rFont val="Tahoma"/>
            <family val="2"/>
            <charset val="1"/>
          </rPr>
          <t xml:space="preserve">THANH CHONG:
</t>
        </r>
        <r>
          <rPr>
            <sz val="9"/>
            <color indexed="8"/>
            <rFont val="Tahoma"/>
            <family val="2"/>
            <charset val="1"/>
          </rPr>
          <t>học phí</t>
        </r>
      </text>
    </comment>
    <comment ref="A47" authorId="1" shapeId="0">
      <text>
        <r>
          <rPr>
            <b/>
            <sz val="9"/>
            <color indexed="8"/>
            <rFont val="Tahoma"/>
            <family val="2"/>
            <charset val="1"/>
          </rPr>
          <t xml:space="preserve">ADMIN:
</t>
        </r>
        <r>
          <rPr>
            <sz val="9"/>
            <color indexed="8"/>
            <rFont val="Tahoma"/>
            <family val="2"/>
            <charset val="1"/>
          </rPr>
          <t>TRONG CÁC KHOẢN THU VỀ NHÀ ĐẤT</t>
        </r>
      </text>
    </comment>
    <comment ref="A53" authorId="1" shapeId="0">
      <text>
        <r>
          <rPr>
            <b/>
            <sz val="9"/>
            <color indexed="8"/>
            <rFont val="Tahoma"/>
            <family val="2"/>
            <charset val="1"/>
          </rPr>
          <t xml:space="preserve">ADMIN:
</t>
        </r>
        <r>
          <rPr>
            <sz val="9"/>
            <color indexed="8"/>
            <rFont val="Tahoma"/>
            <family val="2"/>
            <charset val="1"/>
          </rPr>
          <t>TRONG CÁC KHOẢN THU VỀ NHÀ ĐẤT</t>
        </r>
      </text>
    </comment>
    <comment ref="A54" authorId="1" shapeId="0">
      <text>
        <r>
          <rPr>
            <b/>
            <sz val="9"/>
            <color indexed="8"/>
            <rFont val="Tahoma"/>
            <family val="2"/>
            <charset val="1"/>
          </rPr>
          <t xml:space="preserve">ADMIN:
</t>
        </r>
        <r>
          <rPr>
            <sz val="9"/>
            <color indexed="8"/>
            <rFont val="Tahoma"/>
            <family val="2"/>
            <charset val="1"/>
          </rPr>
          <t>TRONG CÁC KHOAN THU VE NHA DAT</t>
        </r>
      </text>
    </comment>
    <comment ref="A55" authorId="1" shapeId="0">
      <text>
        <r>
          <rPr>
            <b/>
            <sz val="9"/>
            <color indexed="8"/>
            <rFont val="Tahoma"/>
            <family val="2"/>
            <charset val="1"/>
          </rPr>
          <t xml:space="preserve">ADMIN:
</t>
        </r>
        <r>
          <rPr>
            <sz val="9"/>
            <color indexed="8"/>
            <rFont val="Tahoma"/>
            <family val="2"/>
            <charset val="1"/>
          </rPr>
          <t>TRONG CÁC KHOAN THU VE NHA DAT</t>
        </r>
      </text>
    </comment>
    <comment ref="A56" authorId="1" shapeId="0">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G56" authorId="2" shapeId="0">
      <text>
        <r>
          <rPr>
            <b/>
            <sz val="9"/>
            <color indexed="81"/>
            <rFont val="Tahoma"/>
            <family val="2"/>
          </rPr>
          <t>THANH CHONG:</t>
        </r>
        <r>
          <rPr>
            <sz val="9"/>
            <color indexed="81"/>
            <rFont val="Tahoma"/>
            <family val="2"/>
          </rPr>
          <t xml:space="preserve">
có giảm 24230874657đ</t>
        </r>
      </text>
    </comment>
    <comment ref="A57" authorId="1" shapeId="0">
      <text>
        <r>
          <rPr>
            <b/>
            <sz val="9"/>
            <color indexed="8"/>
            <rFont val="Tahoma"/>
            <family val="2"/>
            <charset val="1"/>
          </rPr>
          <t xml:space="preserve">ADMIN:
</t>
        </r>
        <r>
          <rPr>
            <sz val="9"/>
            <color indexed="8"/>
            <rFont val="Tahoma"/>
            <family val="2"/>
            <charset val="1"/>
          </rPr>
          <t>TRONG THU TẠI XÃ</t>
        </r>
      </text>
    </comment>
    <comment ref="I67" authorId="1" shapeId="0">
      <text>
        <r>
          <rPr>
            <b/>
            <sz val="9"/>
            <color indexed="8"/>
            <rFont val="Tahoma"/>
            <family val="2"/>
            <charset val="1"/>
          </rPr>
          <t xml:space="preserve">luu y chyen len thu tai xa
</t>
        </r>
      </text>
    </comment>
    <comment ref="A79" authorId="1" shapeId="0">
      <text>
        <r>
          <rPr>
            <b/>
            <sz val="9"/>
            <color indexed="8"/>
            <rFont val="Tahoma"/>
            <family val="2"/>
            <charset val="1"/>
          </rPr>
          <t xml:space="preserve">ADMIN:
</t>
        </r>
        <r>
          <rPr>
            <sz val="9"/>
            <color indexed="8"/>
            <rFont val="Tahoma"/>
            <family val="2"/>
            <charset val="1"/>
          </rPr>
          <t>trong thu ql qua ns cũ</t>
        </r>
      </text>
    </comment>
    <comment ref="G96" authorId="2" shapeId="0">
      <text>
        <r>
          <rPr>
            <b/>
            <sz val="9"/>
            <color indexed="81"/>
            <rFont val="Tahoma"/>
            <family val="2"/>
          </rPr>
          <t>THANH CHONG:</t>
        </r>
        <r>
          <rPr>
            <sz val="9"/>
            <color indexed="81"/>
            <rFont val="Tahoma"/>
            <family val="2"/>
          </rPr>
          <t xml:space="preserve">
bù hụt thu 2017 273.600 triệu đồng</t>
        </r>
      </text>
    </comment>
    <comment ref="G118" authorId="1" shapeId="0">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G123" authorId="1" shapeId="0">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G140" authorId="1" shapeId="0">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7.xml><?xml version="1.0" encoding="utf-8"?>
<comments xmlns="http://schemas.openxmlformats.org/spreadsheetml/2006/main">
  <authors>
    <author/>
    <author>THANH CHONG</author>
    <author>Dell 04</author>
  </authors>
  <commentList>
    <comment ref="J24" authorId="0" shapeId="0">
      <text>
        <r>
          <rPr>
            <b/>
            <sz val="9"/>
            <color indexed="8"/>
            <rFont val="Tahoma"/>
            <family val="2"/>
            <charset val="1"/>
          </rPr>
          <t xml:space="preserve">THANH CHONG:
</t>
        </r>
        <r>
          <rPr>
            <sz val="9"/>
            <color indexed="8"/>
            <rFont val="Tahoma"/>
            <family val="2"/>
            <charset val="1"/>
          </rPr>
          <t>ODA</t>
        </r>
      </text>
    </comment>
    <comment ref="H30"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H33" authorId="0" shapeId="0">
      <text>
        <r>
          <rPr>
            <b/>
            <sz val="9"/>
            <color indexed="8"/>
            <rFont val="Tahoma"/>
            <family val="2"/>
            <charset val="1"/>
          </rPr>
          <t xml:space="preserve">Nhu:
</t>
        </r>
        <r>
          <rPr>
            <sz val="9"/>
            <color indexed="8"/>
            <rFont val="Tahoma"/>
            <family val="2"/>
            <charset val="1"/>
          </rPr>
          <t>-CTMT GD: 4.231,05
-XSKT: 182.168,29</t>
        </r>
      </text>
    </comment>
    <comment ref="H35" authorId="0" shapeId="0">
      <text>
        <r>
          <rPr>
            <b/>
            <sz val="9"/>
            <color indexed="8"/>
            <rFont val="Tahoma"/>
            <family val="2"/>
            <charset val="1"/>
          </rPr>
          <t xml:space="preserve">ADMIN:
</t>
        </r>
        <r>
          <rPr>
            <sz val="9"/>
            <color indexed="8"/>
            <rFont val="Tahoma"/>
            <family val="2"/>
            <charset val="1"/>
          </rPr>
          <t>CO GHI THU CHI VON DP</t>
        </r>
      </text>
    </comment>
    <comment ref="U51"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J57" authorId="0" shapeId="0">
      <text>
        <r>
          <rPr>
            <sz val="8"/>
            <color indexed="8"/>
            <rFont val="Tahoma"/>
            <family val="2"/>
            <charset val="1"/>
          </rPr>
          <t>CT giảm nghèo</t>
        </r>
      </text>
    </comment>
    <comment ref="I70" authorId="0" shapeId="0">
      <text>
        <r>
          <rPr>
            <b/>
            <sz val="9"/>
            <color indexed="8"/>
            <rFont val="Tahoma"/>
            <family val="2"/>
            <charset val="1"/>
          </rPr>
          <t xml:space="preserve">THANH CHONG:
</t>
        </r>
        <r>
          <rPr>
            <sz val="9"/>
            <color indexed="8"/>
            <rFont val="Tahoma"/>
            <family val="2"/>
            <charset val="1"/>
          </rPr>
          <t>ghi chi nguon vien tro cho SOS</t>
        </r>
      </text>
    </comment>
    <comment ref="H76"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H81" authorId="1" shapeId="0">
      <text>
        <r>
          <rPr>
            <b/>
            <sz val="9"/>
            <color indexed="81"/>
            <rFont val="Tahoma"/>
            <family val="2"/>
          </rPr>
          <t>THANH CHONG:</t>
        </r>
        <r>
          <rPr>
            <sz val="9"/>
            <color indexed="81"/>
            <rFont val="Tahoma"/>
            <family val="2"/>
          </rPr>
          <t xml:space="preserve">
CHUYỂN NGUỒN CHỐT NGÀY 05112018</t>
        </r>
      </text>
    </comment>
    <comment ref="I95" authorId="0" shapeId="0">
      <text>
        <r>
          <rPr>
            <b/>
            <sz val="9"/>
            <color indexed="8"/>
            <rFont val="Tahoma"/>
            <family val="2"/>
            <charset val="1"/>
          </rPr>
          <t xml:space="preserve">THANH CHONG:
</t>
        </r>
        <r>
          <rPr>
            <sz val="9"/>
            <color indexed="8"/>
            <rFont val="Tahoma"/>
            <family val="2"/>
            <charset val="1"/>
          </rPr>
          <t>ghi thu ghi chi nguyon vien tro SOS</t>
        </r>
      </text>
    </comment>
    <comment ref="H102" authorId="1" shapeId="0">
      <text>
        <r>
          <rPr>
            <b/>
            <sz val="9"/>
            <color indexed="81"/>
            <rFont val="Tahoma"/>
            <family val="2"/>
          </rPr>
          <t>THANH CHONG:</t>
        </r>
        <r>
          <rPr>
            <sz val="9"/>
            <color indexed="81"/>
            <rFont val="Tahoma"/>
            <family val="2"/>
          </rPr>
          <t xml:space="preserve">
có chuyển nguồn cấp tỉnh</t>
        </r>
      </text>
    </comment>
    <comment ref="G107" authorId="2" shapeId="0">
      <text>
        <r>
          <rPr>
            <b/>
            <sz val="9"/>
            <color indexed="81"/>
            <rFont val="Tahoma"/>
            <family val="2"/>
          </rPr>
          <t>Dell 04:</t>
        </r>
        <r>
          <rPr>
            <sz val="9"/>
            <color indexed="81"/>
            <rFont val="Tahoma"/>
            <family val="2"/>
          </rPr>
          <t xml:space="preserve">
CHUYỂN NGUỒN NGÂN SÁCH TỈNH NĂM 2017</t>
        </r>
      </text>
    </comment>
    <comment ref="K107" authorId="2" shapeId="0">
      <text>
        <r>
          <rPr>
            <b/>
            <sz val="9"/>
            <color indexed="81"/>
            <rFont val="Tahoma"/>
            <family val="2"/>
          </rPr>
          <t>Dell 04:</t>
        </r>
        <r>
          <rPr>
            <sz val="9"/>
            <color indexed="81"/>
            <rFont val="Tahoma"/>
            <family val="2"/>
          </rPr>
          <t xml:space="preserve">
CHI HUYỆN</t>
        </r>
      </text>
    </comment>
  </commentList>
</comments>
</file>

<file path=xl/comments8.xml><?xml version="1.0" encoding="utf-8"?>
<comments xmlns="http://schemas.openxmlformats.org/spreadsheetml/2006/main">
  <authors>
    <author>Dell 04</author>
    <author/>
    <author>THANH CHONG</author>
  </authors>
  <commentList>
    <comment ref="L2" authorId="0" shapeId="0">
      <text>
        <r>
          <rPr>
            <b/>
            <sz val="9"/>
            <color indexed="81"/>
            <rFont val="Tahoma"/>
            <family val="2"/>
          </rPr>
          <t>Dell 04:</t>
        </r>
        <r>
          <rPr>
            <sz val="9"/>
            <color indexed="81"/>
            <rFont val="Tahoma"/>
            <family val="2"/>
          </rPr>
          <t xml:space="preserve">
DỰ KIẾN TRUNG ƯƠNG BÙ HỤT THU CHO TỈNH</t>
        </r>
      </text>
    </comment>
    <comment ref="L6" authorId="0" shapeId="0">
      <text>
        <r>
          <rPr>
            <b/>
            <sz val="9"/>
            <color indexed="81"/>
            <rFont val="Tahoma"/>
            <family val="2"/>
          </rPr>
          <t>Dell 04:</t>
        </r>
        <r>
          <rPr>
            <sz val="9"/>
            <color indexed="81"/>
            <rFont val="Tahoma"/>
            <family val="2"/>
          </rPr>
          <t xml:space="preserve">
THU HUYỆN</t>
        </r>
      </text>
    </comment>
    <comment ref="L7" authorId="0" shapeId="0">
      <text>
        <r>
          <rPr>
            <b/>
            <sz val="9"/>
            <color indexed="81"/>
            <rFont val="Tahoma"/>
            <family val="2"/>
          </rPr>
          <t>Dell 04:</t>
        </r>
        <r>
          <rPr>
            <sz val="9"/>
            <color indexed="81"/>
            <rFont val="Tahoma"/>
            <family val="2"/>
          </rPr>
          <t xml:space="preserve">
THU XÃ
</t>
        </r>
      </text>
    </comment>
    <comment ref="O13" authorId="1" shapeId="0">
      <text>
        <r>
          <rPr>
            <b/>
            <sz val="9"/>
            <color indexed="8"/>
            <rFont val="Tahoma"/>
            <family val="2"/>
            <charset val="1"/>
          </rPr>
          <t xml:space="preserve">THANH CHONG:
</t>
        </r>
        <r>
          <rPr>
            <sz val="9"/>
            <color indexed="8"/>
            <rFont val="Tahoma"/>
            <family val="2"/>
            <charset val="1"/>
          </rPr>
          <t>học phí</t>
        </r>
      </text>
    </comment>
    <comment ref="A45" authorId="1" shapeId="0">
      <text>
        <r>
          <rPr>
            <b/>
            <sz val="9"/>
            <color indexed="8"/>
            <rFont val="Tahoma"/>
            <family val="2"/>
            <charset val="1"/>
          </rPr>
          <t xml:space="preserve">ADMIN:
</t>
        </r>
        <r>
          <rPr>
            <sz val="9"/>
            <color indexed="8"/>
            <rFont val="Tahoma"/>
            <family val="2"/>
            <charset val="1"/>
          </rPr>
          <t>TRONG CÁC KHOẢN THU VỀ NHÀ ĐẤT</t>
        </r>
      </text>
    </comment>
    <comment ref="A51" authorId="1" shapeId="0">
      <text>
        <r>
          <rPr>
            <b/>
            <sz val="9"/>
            <color indexed="8"/>
            <rFont val="Tahoma"/>
            <family val="2"/>
            <charset val="1"/>
          </rPr>
          <t xml:space="preserve">ADMIN:
</t>
        </r>
        <r>
          <rPr>
            <sz val="9"/>
            <color indexed="8"/>
            <rFont val="Tahoma"/>
            <family val="2"/>
            <charset val="1"/>
          </rPr>
          <t>TRONG CÁC KHOẢN THU VỀ NHÀ ĐẤT</t>
        </r>
      </text>
    </comment>
    <comment ref="A52" authorId="1" shapeId="0">
      <text>
        <r>
          <rPr>
            <b/>
            <sz val="9"/>
            <color indexed="8"/>
            <rFont val="Tahoma"/>
            <family val="2"/>
            <charset val="1"/>
          </rPr>
          <t xml:space="preserve">ADMIN:
</t>
        </r>
        <r>
          <rPr>
            <sz val="9"/>
            <color indexed="8"/>
            <rFont val="Tahoma"/>
            <family val="2"/>
            <charset val="1"/>
          </rPr>
          <t>TRONG CÁC KHOAN THU VE NHA DAT</t>
        </r>
      </text>
    </comment>
    <comment ref="A53" authorId="1" shapeId="0">
      <text>
        <r>
          <rPr>
            <b/>
            <sz val="9"/>
            <color indexed="8"/>
            <rFont val="Tahoma"/>
            <family val="2"/>
            <charset val="1"/>
          </rPr>
          <t xml:space="preserve">ADMIN:
</t>
        </r>
        <r>
          <rPr>
            <sz val="9"/>
            <color indexed="8"/>
            <rFont val="Tahoma"/>
            <family val="2"/>
            <charset val="1"/>
          </rPr>
          <t>TRONG CÁC KHOAN THU VE NHA DAT</t>
        </r>
      </text>
    </comment>
    <comment ref="A54" authorId="1" shapeId="0">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F54" authorId="2" shapeId="0">
      <text>
        <r>
          <rPr>
            <b/>
            <sz val="9"/>
            <color indexed="81"/>
            <rFont val="Tahoma"/>
            <family val="2"/>
          </rPr>
          <t>THANH CHONG:</t>
        </r>
        <r>
          <rPr>
            <sz val="9"/>
            <color indexed="81"/>
            <rFont val="Tahoma"/>
            <family val="2"/>
          </rPr>
          <t xml:space="preserve">
có giảm 24230874657đ</t>
        </r>
      </text>
    </comment>
    <comment ref="A55" authorId="1" shapeId="0">
      <text>
        <r>
          <rPr>
            <b/>
            <sz val="9"/>
            <color indexed="8"/>
            <rFont val="Tahoma"/>
            <family val="2"/>
            <charset val="1"/>
          </rPr>
          <t xml:space="preserve">ADMIN:
</t>
        </r>
        <r>
          <rPr>
            <sz val="9"/>
            <color indexed="8"/>
            <rFont val="Tahoma"/>
            <family val="2"/>
            <charset val="1"/>
          </rPr>
          <t>TRONG THU TẠI XÃ</t>
        </r>
      </text>
    </comment>
    <comment ref="H65" authorId="1" shapeId="0">
      <text>
        <r>
          <rPr>
            <b/>
            <sz val="9"/>
            <color indexed="8"/>
            <rFont val="Tahoma"/>
            <family val="2"/>
            <charset val="1"/>
          </rPr>
          <t xml:space="preserve">luu y chyen len thu tai xa
</t>
        </r>
      </text>
    </comment>
    <comment ref="A77" authorId="1" shapeId="0">
      <text>
        <r>
          <rPr>
            <b/>
            <sz val="9"/>
            <color indexed="8"/>
            <rFont val="Tahoma"/>
            <family val="2"/>
            <charset val="1"/>
          </rPr>
          <t xml:space="preserve">ADMIN:
</t>
        </r>
        <r>
          <rPr>
            <sz val="9"/>
            <color indexed="8"/>
            <rFont val="Tahoma"/>
            <family val="2"/>
            <charset val="1"/>
          </rPr>
          <t>trong thu ql qua ns cũ</t>
        </r>
      </text>
    </comment>
    <comment ref="F94" authorId="2" shapeId="0">
      <text>
        <r>
          <rPr>
            <b/>
            <sz val="9"/>
            <color indexed="81"/>
            <rFont val="Tahoma"/>
            <family val="2"/>
          </rPr>
          <t>THANH CHONG:</t>
        </r>
        <r>
          <rPr>
            <sz val="9"/>
            <color indexed="81"/>
            <rFont val="Tahoma"/>
            <family val="2"/>
          </rPr>
          <t xml:space="preserve">
bù hụt thu 2017 273.600 triệu đồng</t>
        </r>
      </text>
    </comment>
    <comment ref="F116" authorId="1" shapeId="0">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F121" authorId="1" shapeId="0">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F138" authorId="1" shapeId="0">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9.xml><?xml version="1.0" encoding="utf-8"?>
<comments xmlns="http://schemas.openxmlformats.org/spreadsheetml/2006/main">
  <authors>
    <author/>
    <author>THANH CHONG</author>
    <author>Dell 04</author>
  </authors>
  <commentList>
    <comment ref="H20" authorId="0" shapeId="0">
      <text>
        <r>
          <rPr>
            <b/>
            <sz val="9"/>
            <color indexed="8"/>
            <rFont val="Tahoma"/>
            <family val="2"/>
            <charset val="1"/>
          </rPr>
          <t xml:space="preserve">THANH CHONG:
</t>
        </r>
        <r>
          <rPr>
            <sz val="9"/>
            <color indexed="8"/>
            <rFont val="Tahoma"/>
            <family val="2"/>
            <charset val="1"/>
          </rPr>
          <t>ODA</t>
        </r>
      </text>
    </comment>
    <comment ref="F26"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F29" authorId="0" shapeId="0">
      <text>
        <r>
          <rPr>
            <b/>
            <sz val="9"/>
            <color indexed="8"/>
            <rFont val="Tahoma"/>
            <family val="2"/>
            <charset val="1"/>
          </rPr>
          <t xml:space="preserve">Nhu:
</t>
        </r>
        <r>
          <rPr>
            <sz val="9"/>
            <color indexed="8"/>
            <rFont val="Tahoma"/>
            <family val="2"/>
            <charset val="1"/>
          </rPr>
          <t>-CTMT GD: 4.231,05
-XSKT: 182.168,29</t>
        </r>
      </text>
    </comment>
    <comment ref="F31" authorId="0" shapeId="0">
      <text>
        <r>
          <rPr>
            <b/>
            <sz val="9"/>
            <color indexed="8"/>
            <rFont val="Tahoma"/>
            <family val="2"/>
            <charset val="1"/>
          </rPr>
          <t xml:space="preserve">ADMIN:
</t>
        </r>
        <r>
          <rPr>
            <sz val="9"/>
            <color indexed="8"/>
            <rFont val="Tahoma"/>
            <family val="2"/>
            <charset val="1"/>
          </rPr>
          <t>CO GHI THU CHI VON DP</t>
        </r>
      </text>
    </comment>
    <comment ref="R47"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3" authorId="0" shapeId="0">
      <text>
        <r>
          <rPr>
            <sz val="8"/>
            <color indexed="8"/>
            <rFont val="Tahoma"/>
            <family val="2"/>
            <charset val="1"/>
          </rPr>
          <t>CT giảm nghèo</t>
        </r>
      </text>
    </comment>
    <comment ref="G66" authorId="0" shapeId="0">
      <text>
        <r>
          <rPr>
            <b/>
            <sz val="9"/>
            <color indexed="8"/>
            <rFont val="Tahoma"/>
            <family val="2"/>
            <charset val="1"/>
          </rPr>
          <t xml:space="preserve">THANH CHONG:
</t>
        </r>
        <r>
          <rPr>
            <sz val="9"/>
            <color indexed="8"/>
            <rFont val="Tahoma"/>
            <family val="2"/>
            <charset val="1"/>
          </rPr>
          <t>ghi chi nguon vien tro cho SOS</t>
        </r>
      </text>
    </comment>
    <comment ref="F72"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F77" authorId="1" shapeId="0">
      <text>
        <r>
          <rPr>
            <b/>
            <sz val="9"/>
            <color indexed="81"/>
            <rFont val="Tahoma"/>
            <family val="2"/>
          </rPr>
          <t>THANH CHONG:</t>
        </r>
        <r>
          <rPr>
            <sz val="9"/>
            <color indexed="81"/>
            <rFont val="Tahoma"/>
            <family val="2"/>
          </rPr>
          <t xml:space="preserve">
CHUYỂN NGUỒN CHỐT NGÀY 05112018</t>
        </r>
      </text>
    </comment>
    <comment ref="G91" authorId="0" shapeId="0">
      <text>
        <r>
          <rPr>
            <b/>
            <sz val="9"/>
            <color indexed="8"/>
            <rFont val="Tahoma"/>
            <family val="2"/>
            <charset val="1"/>
          </rPr>
          <t xml:space="preserve">THANH CHONG:
</t>
        </r>
        <r>
          <rPr>
            <sz val="9"/>
            <color indexed="8"/>
            <rFont val="Tahoma"/>
            <family val="2"/>
            <charset val="1"/>
          </rPr>
          <t>ghi thu ghi chi nguyon vien tro SOS</t>
        </r>
      </text>
    </comment>
    <comment ref="F98" authorId="1" shapeId="0">
      <text>
        <r>
          <rPr>
            <b/>
            <sz val="9"/>
            <color indexed="81"/>
            <rFont val="Tahoma"/>
            <family val="2"/>
          </rPr>
          <t>THANH CHONG:</t>
        </r>
        <r>
          <rPr>
            <sz val="9"/>
            <color indexed="81"/>
            <rFont val="Tahoma"/>
            <family val="2"/>
          </rPr>
          <t xml:space="preserve">
có chuyển nguồn cấp tỉnh</t>
        </r>
      </text>
    </comment>
    <comment ref="E103" authorId="2" shapeId="0">
      <text>
        <r>
          <rPr>
            <b/>
            <sz val="9"/>
            <color indexed="81"/>
            <rFont val="Tahoma"/>
            <family val="2"/>
          </rPr>
          <t>Dell 04:</t>
        </r>
        <r>
          <rPr>
            <sz val="9"/>
            <color indexed="81"/>
            <rFont val="Tahoma"/>
            <family val="2"/>
          </rPr>
          <t xml:space="preserve">
CHUYỂN NGUỒN NGÂN SÁCH TỈNH NĂM 2017</t>
        </r>
      </text>
    </comment>
    <comment ref="I103" authorId="2" shapeId="0">
      <text>
        <r>
          <rPr>
            <b/>
            <sz val="9"/>
            <color indexed="81"/>
            <rFont val="Tahoma"/>
            <family val="2"/>
          </rPr>
          <t>Dell 04:</t>
        </r>
        <r>
          <rPr>
            <sz val="9"/>
            <color indexed="81"/>
            <rFont val="Tahoma"/>
            <family val="2"/>
          </rPr>
          <t xml:space="preserve">
CHI HUYỆN</t>
        </r>
      </text>
    </comment>
  </commentList>
</comments>
</file>

<file path=xl/sharedStrings.xml><?xml version="1.0" encoding="utf-8"?>
<sst xmlns="http://schemas.openxmlformats.org/spreadsheetml/2006/main" count="3319" uniqueCount="1599">
  <si>
    <t>Bệnh viện Sản - Nhi Cà Mau</t>
  </si>
  <si>
    <t>Đơn vị: Triệu đồng</t>
  </si>
  <si>
    <t>Vốn trong nước</t>
  </si>
  <si>
    <t>Vốn ngoài nước</t>
  </si>
  <si>
    <t>NÔNG, LÂM, THỦY SẢN</t>
  </si>
  <si>
    <t>Công trình chuyển tiếp</t>
  </si>
  <si>
    <t xml:space="preserve">Đối ứng Dự án nguồn lợi ven biển vì sự phát triển bền vững tỉnh Cà Mau (CRSD Cà Mau) </t>
  </si>
  <si>
    <t>7371237</t>
  </si>
  <si>
    <t>Cầu Rạch Sao 2, thị trấn Đầm Dơi, huyện Đầm Dơi</t>
  </si>
  <si>
    <t>7454590</t>
  </si>
  <si>
    <t>Hệ thống giao thông khu hành chính huyện Phú Tân</t>
  </si>
  <si>
    <t>7147972</t>
  </si>
  <si>
    <t>Nâng cấp tuyến đường trục chính trung tâm thị trấn Cái Đôi Vàm, huyện Phú Tân</t>
  </si>
  <si>
    <t>7483983</t>
  </si>
  <si>
    <t xml:space="preserve">Tuyến đường ôtô đến trung tâm xã Viên An, huyện Ngọc Hiển </t>
  </si>
  <si>
    <t>HẠ TẦNG ĐÔ THỊ</t>
  </si>
  <si>
    <t>7199192</t>
  </si>
  <si>
    <t>Dự án đầu tư xây dựng hạ tầng kỹ thuật khu Quảng trường văn hóa trung tâm tỉnh Cà Mau</t>
  </si>
  <si>
    <t>7404890</t>
  </si>
  <si>
    <t xml:space="preserve">Dự án đầu tư xây dựng hạ tầng kỹ thuật Khu B - Khu công nghiệp Khánh An </t>
  </si>
  <si>
    <t>7320310</t>
  </si>
  <si>
    <t>Khu thực nghiệm ứng dụng khoa học, công nghệ cho hệ sinh thái nước ngọt</t>
  </si>
  <si>
    <t xml:space="preserve">Công trình mới </t>
  </si>
  <si>
    <t xml:space="preserve">Dự án ứng dụng công nghệ thông tin trong hoạt động của cơ quan Đảng tỉnh Cà Mau giai đoạn 2015 - 2020 </t>
  </si>
  <si>
    <t>VĂN HÓA, THỂ THAO, DU LỊCH</t>
  </si>
  <si>
    <t>Dự án đầu tư xây dựng hạ tầng kỹ thuật du lịch sinh thái Vườn Quốc gia U Minh hạ</t>
  </si>
  <si>
    <t>KHỐI ĐẢNG, NHÀ NƯỚC</t>
  </si>
  <si>
    <t>Trụ sở liên cơ quan huyện Phú Tân giai đoạn 3</t>
  </si>
  <si>
    <t>7275486</t>
  </si>
  <si>
    <t>Trụ sở hành chính thị trấn Năm Căn, huyện Năm Căn</t>
  </si>
  <si>
    <t>Trụ sở Huyện ủy Trần Văn Thời và các Ban Đảng</t>
  </si>
  <si>
    <t>Trụ sở Hội Nông dân và Hội Liên hiệp Phụ nữ tỉnh Cà Mau</t>
  </si>
  <si>
    <t>AN NINH - QUỐC PHÒNG</t>
  </si>
  <si>
    <t>Dự án chuyển tiếp</t>
  </si>
  <si>
    <t>7004686</t>
  </si>
  <si>
    <t>Các dự án của Công an tỉnh Cà Mau</t>
  </si>
  <si>
    <t xml:space="preserve">        UBND TỈNH CÀ MAU</t>
  </si>
  <si>
    <t>CÂN ĐỐI QUYẾT TOÁN NGÂN SÁCH ĐỊA PHƯƠNG NĂM 2017</t>
  </si>
  <si>
    <t>Đơn vị: Triệu đồng.</t>
  </si>
  <si>
    <t>STT</t>
  </si>
  <si>
    <t>PHẦN THU</t>
  </si>
  <si>
    <t>Tổng</t>
  </si>
  <si>
    <t>Thu</t>
  </si>
  <si>
    <t>PHẦN CHI</t>
  </si>
  <si>
    <t>Chi</t>
  </si>
  <si>
    <t>số</t>
  </si>
  <si>
    <t>NS tỉnh</t>
  </si>
  <si>
    <t>NS huyện</t>
  </si>
  <si>
    <t>NS xã</t>
  </si>
  <si>
    <t>TỔNG SỐ THU</t>
  </si>
  <si>
    <t>TỔNG SỐ CHI</t>
  </si>
  <si>
    <t>A</t>
  </si>
  <si>
    <t>Tổng số thu cân đối ngân sách</t>
  </si>
  <si>
    <t>Các khoản thu được hưởng 100%</t>
  </si>
  <si>
    <t>Chi đầu tư phát triển</t>
  </si>
  <si>
    <t>Các khoản thu phân chia theo tỷ lệ %</t>
  </si>
  <si>
    <t>Chi trả phí và lãi vay</t>
  </si>
  <si>
    <t>Thu tiền vay đầu tư xây dựng cơ sở hạ tầng</t>
  </si>
  <si>
    <t xml:space="preserve"> - Chi bổ sung vốn điều lệ</t>
  </si>
  <si>
    <t>Thu từ quỹ dự trữ tài chính</t>
  </si>
  <si>
    <t xml:space="preserve"> - Chi trả vốn và lãi vay</t>
  </si>
  <si>
    <t>Thu kết dư ngân sách năm trước</t>
  </si>
  <si>
    <t>Chi thường xuyên</t>
  </si>
  <si>
    <t>Thu chuyển nguồn từ năm trước sang</t>
  </si>
  <si>
    <t>Chi bổ sung quỹ dự trữ tài chính</t>
  </si>
  <si>
    <t>Thu từ ngân sách cấp dưới nộp lên</t>
  </si>
  <si>
    <t>Chi chương trình MT cân đối NSĐP</t>
  </si>
  <si>
    <t>Thu bổ sung từ ngân sách cấp trên</t>
  </si>
  <si>
    <t>Chi bổ sung cho ngân sách cấp dưới</t>
  </si>
  <si>
    <t>Tr.đó: - Bổ sung cân đối ngân sách</t>
  </si>
  <si>
    <t>Chi chuyển nguồn sang năm sau</t>
  </si>
  <si>
    <t xml:space="preserve">            - Bổ sung có mục tiêu</t>
  </si>
  <si>
    <t>Chi nộp ngân sách cấp trên</t>
  </si>
  <si>
    <t>Các khoản huy động đóng góp xây dựng cơ sở hạ tầng</t>
  </si>
  <si>
    <t>KẾT DƯ NGÂN SÁCH NĂM 2017</t>
  </si>
  <si>
    <t>Trong đó:</t>
  </si>
  <si>
    <t xml:space="preserve">Nguồn hụt trong cấn đối </t>
  </si>
  <si>
    <t>B</t>
  </si>
  <si>
    <t>Vay của ngân sách cấp tỉnh</t>
  </si>
  <si>
    <t>Chi trả nợ gốc</t>
  </si>
  <si>
    <t xml:space="preserve">Giám đốc KBNN tỉnh Cà Mau </t>
  </si>
  <si>
    <t>Giám đốc Sở Tài chính Cà Mau</t>
  </si>
  <si>
    <t>TM. UBND tỉnh Cà Mau</t>
  </si>
  <si>
    <t>Chủ tịch</t>
  </si>
  <si>
    <t>Ngày 31 tháng  3  năm 2018</t>
  </si>
  <si>
    <t>Lập biểu</t>
  </si>
  <si>
    <t>TP. Phòng QL Ngân sách</t>
  </si>
  <si>
    <t>TRẦN THANH CHỐNG</t>
  </si>
  <si>
    <t>chi tỉnh có chi chuyển nguồn</t>
  </si>
  <si>
    <t>còn thu quản lý qua ngân sách nguồn huy động</t>
  </si>
  <si>
    <t>thuyết minh;thu tỉnh giảm tạm thu 193903 và thu huyện giảm thu học phí 1696</t>
  </si>
  <si>
    <t>thu tỉnh giảm rút mục tiêu vượt 2941</t>
  </si>
  <si>
    <t>UBND TỈNH CÀ MAU</t>
  </si>
  <si>
    <t>QUYẾT TOÁN CÂN ĐỐI NGÂN SÁCH ĐỊA PHƯƠNG NĂM 2017</t>
  </si>
  <si>
    <t>Dự toán năm 2017</t>
  </si>
  <si>
    <t>Quyết toán</t>
  </si>
  <si>
    <t>So sánh QT/DT (%)</t>
  </si>
  <si>
    <t>NỘI DUNG CHI</t>
  </si>
  <si>
    <t>HĐND</t>
  </si>
  <si>
    <t>TW</t>
  </si>
  <si>
    <t>GHI CHÚ</t>
  </si>
  <si>
    <t>giao</t>
  </si>
  <si>
    <t>quyết định</t>
  </si>
  <si>
    <t>1</t>
  </si>
  <si>
    <t>2</t>
  </si>
  <si>
    <t>3</t>
  </si>
  <si>
    <t>6</t>
  </si>
  <si>
    <t>THU, CHI CÂN ĐỐI NGÂN SÁCH NHÀ NƯỚC</t>
  </si>
  <si>
    <t>I</t>
  </si>
  <si>
    <t>Tổng thu NSNN trên địa bàn</t>
  </si>
  <si>
    <t>Thu nội địa (không kể thu từ dầu thô)</t>
  </si>
  <si>
    <t>Thu từ hoạt động xuất khẩu, nhập khẩu</t>
  </si>
  <si>
    <t>II</t>
  </si>
  <si>
    <t>Thu ngân sách địa phương hưởng theo phân cấp</t>
  </si>
  <si>
    <t xml:space="preserve"> - Các khoản thu NSĐP hưởng 100%</t>
  </si>
  <si>
    <t xml:space="preserve"> - Các khoản thu phân chia NSĐP hưởng theo tỷ lệ %</t>
  </si>
  <si>
    <t>Bổ sung từ ngân sách Trung ương</t>
  </si>
  <si>
    <t>2.1. Bổ sung cân đối</t>
  </si>
  <si>
    <t>lệch</t>
  </si>
  <si>
    <t xml:space="preserve"> - Bổ sung cân đối ổn định</t>
  </si>
  <si>
    <t xml:space="preserve"> - Bổ sung hụt thu do chính sách</t>
  </si>
  <si>
    <t xml:space="preserve"> - Bổ sung tiền lương</t>
  </si>
  <si>
    <t xml:space="preserve"> - Bổ sung đảm bảo mặt bằng chi thường xuyên</t>
  </si>
  <si>
    <t>2.2. Bổ sung có mục tiêu, CTMTQG</t>
  </si>
  <si>
    <t xml:space="preserve"> - Bổ sung có mục tiêu</t>
  </si>
  <si>
    <t xml:space="preserve"> - Bổ sung CTMT quốc gia</t>
  </si>
  <si>
    <t xml:space="preserve"> - Bổ sung bằng nguồn vốn ngoài nước</t>
  </si>
  <si>
    <t>Thu chuyển nguồn từ ngân sách năm trước</t>
  </si>
  <si>
    <t>Thu huy động đầu tư</t>
  </si>
  <si>
    <t>Thu kết dư ngân sách năm 2016</t>
  </si>
  <si>
    <t>III</t>
  </si>
  <si>
    <t>Chi chương trình mục tiêu cân đối NSĐP</t>
  </si>
  <si>
    <t>Chi trả nợ gốc và lãi vay theo quy định</t>
  </si>
  <si>
    <t>Dự phòng</t>
  </si>
  <si>
    <t>Nguồn làm lương</t>
  </si>
  <si>
    <t>Chi chuyển nguồn ngân sách năm sau</t>
  </si>
  <si>
    <t>THU, CHI QUẢN LÝ QUA NGÂN SÁCH</t>
  </si>
  <si>
    <t>Tổng thu (Học phí, viện phí, đóng góp XDCSHT,...)</t>
  </si>
  <si>
    <t>Trong đó: Thu từ hoạt động xổ số kiến thiết</t>
  </si>
  <si>
    <t>Tổng chi từ nguồn thu để lại</t>
  </si>
  <si>
    <t>Trong đó: Chi từ nguồn thu xổ số kiến thiết</t>
  </si>
  <si>
    <t>C</t>
  </si>
  <si>
    <t>Cheânh leäch Thu - Chi ngaân saùch ñòa phöông</t>
  </si>
  <si>
    <t>QUYẾT TOÁN CÂN ĐỐI NGÂN SÁCH TỈNH VÀ NGÂN SÁCH HUYỆN NĂM 2017</t>
  </si>
  <si>
    <t>NỘI DUNG</t>
  </si>
  <si>
    <t>So sánh</t>
  </si>
  <si>
    <t>Ghi chú</t>
  </si>
  <si>
    <t>4</t>
  </si>
  <si>
    <t>NGÂN SÁCH CẤP TỈNH</t>
  </si>
  <si>
    <t>Nguồn thu ngân sách cấp tỉnh</t>
  </si>
  <si>
    <t>Thu ngân sách cấp tỉnh hưởng theo phân cấp</t>
  </si>
  <si>
    <t xml:space="preserve"> - Các khoản thu ngân sách cấp tỉnh hưởng 100%</t>
  </si>
  <si>
    <t xml:space="preserve"> - Các khoản thu phân chia ngân sách cấp tỉnh hưởng theo tỷ lệ %</t>
  </si>
  <si>
    <t>XNK KHAC</t>
  </si>
  <si>
    <t xml:space="preserve"> - Bổ sung hụt thu từ nguồn làm lương</t>
  </si>
  <si>
    <t>Thu nguồn làm lương năm trước chuyển sang</t>
  </si>
  <si>
    <t xml:space="preserve">Tạm thu bổ sung có mục tiêu (TW tạm ứng hụt thu và tam ứng nguồn làm lương) </t>
  </si>
  <si>
    <t>Thu bổ sung quỹ dự trữ tài chính</t>
  </si>
  <si>
    <t>-</t>
  </si>
  <si>
    <t>Chi ngân sách cấp tỉnh</t>
  </si>
  <si>
    <t>chi can doi nsdp</t>
  </si>
  <si>
    <t>Chi thuộc nhiệm vụ của NS cấp tỉnh theo phân cấp</t>
  </si>
  <si>
    <t>Chi bổ sung cho ngân sách cấp huyện thuộc tỉnh</t>
  </si>
  <si>
    <t>kd tỉnh</t>
  </si>
  <si>
    <t>Thu, chi quản lý qua ngân sách cấp tỉnh</t>
  </si>
  <si>
    <t>Tổng thu</t>
  </si>
  <si>
    <t>Tổng chi</t>
  </si>
  <si>
    <t>kd dp</t>
  </si>
  <si>
    <t>NGÂN SÁCH HUYỆN, THÀNH PHỐ THUỘC TỈNH</t>
  </si>
  <si>
    <t>Nguồn thu ngân sách huyện (kể cả cấp xã)</t>
  </si>
  <si>
    <t>Thu ngân sách huyện hưởng theo phân cấp</t>
  </si>
  <si>
    <t xml:space="preserve"> - Các khoản thu ngân sách huyện hưởng 100%</t>
  </si>
  <si>
    <t xml:space="preserve"> - Các khoản thu phân chia ngân sách huyện hưởng theo tỷ lệ %</t>
  </si>
  <si>
    <t>Thu bổ sung từ ngân sách cấp tỉnh</t>
  </si>
  <si>
    <t>kết dư hx</t>
  </si>
  <si>
    <t>Chi ngân sách huyện, thành phố thuộc tỉnh</t>
  </si>
  <si>
    <t>Thu, chi quản lý qua ngân sách huyện</t>
  </si>
  <si>
    <t>QUYẾT TOÁN TỔNG HỢP THU NSNN NĂM 2017</t>
  </si>
  <si>
    <t>Đơn vị: triệu đồng.</t>
  </si>
  <si>
    <t>Phân chia theo từng cấp ngân sách</t>
  </si>
  <si>
    <t>thu NSNN</t>
  </si>
  <si>
    <t xml:space="preserve">Thu NS </t>
  </si>
  <si>
    <t>Cùng kỳ</t>
  </si>
  <si>
    <t>Tỉnh</t>
  </si>
  <si>
    <t>Huyện</t>
  </si>
  <si>
    <t>Xã</t>
  </si>
  <si>
    <t>(A)</t>
  </si>
  <si>
    <t>(3)=(4)+(5)+(6)+(7)</t>
  </si>
  <si>
    <t>(8)=(3):(1)</t>
  </si>
  <si>
    <t>(9)=(3):(2)</t>
  </si>
  <si>
    <t>TỔNG SỐ (A+B+C+D+E)</t>
  </si>
  <si>
    <t xml:space="preserve"> A/- THU NGÂN SÁCH NHÀ NƯỚC</t>
  </si>
  <si>
    <t xml:space="preserve"> I/- Thu nội địa</t>
  </si>
  <si>
    <t>DP HUONG THEO phân cấp</t>
  </si>
  <si>
    <t xml:space="preserve"> 1/- Thu từ DNNN trung ương</t>
  </si>
  <si>
    <t>T HUONG PCấp</t>
  </si>
  <si>
    <t xml:space="preserve">  1.1- Thuế giá trị gia tăng hàng SXKD trong nước</t>
  </si>
  <si>
    <t>h xã 100%</t>
  </si>
  <si>
    <t>DPPC THEO TỶ LỆ PHẦN 100</t>
  </si>
  <si>
    <t>DP HUONG 100</t>
  </si>
  <si>
    <t xml:space="preserve">  1.2- Thuế tiêu thụ đặc biệt hàng nội địa</t>
  </si>
  <si>
    <t xml:space="preserve">  1.3- Thuế thu nhập doanh nghiệp</t>
  </si>
  <si>
    <t>TINH Phân chia</t>
  </si>
  <si>
    <t xml:space="preserve">  1.4- Thu nhập sau thuế thu nhập doanh nghiệp</t>
  </si>
  <si>
    <t xml:space="preserve">  1.5- Thuế tài nguyên</t>
  </si>
  <si>
    <t xml:space="preserve">  1.6- Thuế môn bài</t>
  </si>
  <si>
    <t xml:space="preserve">  1.7- Thu sử dụng vốn ngân sách</t>
  </si>
  <si>
    <t xml:space="preserve">  1.8- Thu khác</t>
  </si>
  <si>
    <t xml:space="preserve"> 2/- Thu từ doanh nghiệp nhà nước địa phương</t>
  </si>
  <si>
    <t xml:space="preserve">  2.1- Thuế giá trị gia tăng hàng SXKD trong nước</t>
  </si>
  <si>
    <t xml:space="preserve">  2.2- Thuế tiêu thụ đặc biệt hàng nội địa</t>
  </si>
  <si>
    <t xml:space="preserve">  2.3- Thuế thu nhập doanh nghiệp</t>
  </si>
  <si>
    <t xml:space="preserve">  2.4- Thu nhập sau thuế thu nhập doanh nghiệp</t>
  </si>
  <si>
    <t>huyện pchia tỷ lệ</t>
  </si>
  <si>
    <t xml:space="preserve">  2.5- Thuế tài nguyên</t>
  </si>
  <si>
    <t>h hưởng 100%</t>
  </si>
  <si>
    <t xml:space="preserve">  2.6- Thuế môn bài</t>
  </si>
  <si>
    <t xml:space="preserve">  2.7- Thu sử dụng vốn ngân sách</t>
  </si>
  <si>
    <t xml:space="preserve">  2.8- Thu khác</t>
  </si>
  <si>
    <t xml:space="preserve"> 3/- Thu từ DN có vốn đầu tư nước ngoài</t>
  </si>
  <si>
    <t>OK</t>
  </si>
  <si>
    <t xml:space="preserve">  3.1- Thuế giá trị gia tăng hàng SXKD trong nước</t>
  </si>
  <si>
    <t xml:space="preserve">  3.2- Thuế thu nhập doanh nghiệp</t>
  </si>
  <si>
    <t xml:space="preserve">  3.3- Thuế môn bài</t>
  </si>
  <si>
    <t xml:space="preserve">  3.4- Tiền thuê mặt đất, mặt nước, mặt biển</t>
  </si>
  <si>
    <t xml:space="preserve">  3.5- Thuế tài nguyên</t>
  </si>
  <si>
    <t xml:space="preserve">  3.6- Thu khác</t>
  </si>
  <si>
    <t xml:space="preserve"> 4/- Thu từ khu vực CTN - ngoài quốc doanh</t>
  </si>
  <si>
    <t>XL DT</t>
  </si>
  <si>
    <t xml:space="preserve">  4.1- Thuế giá trị gia tăng hàng SXKD trong nước</t>
  </si>
  <si>
    <t xml:space="preserve">  4.2- Thuế tiêu thụ đặc biệt hàng nội địa</t>
  </si>
  <si>
    <t xml:space="preserve">  4.3- Thuế thu nhập doanh nghiệp</t>
  </si>
  <si>
    <t xml:space="preserve">  4.4- Thuế tài nguyên</t>
  </si>
  <si>
    <t xml:space="preserve">  4.5- Thuế môn bài</t>
  </si>
  <si>
    <t xml:space="preserve">  4.6- Thu khác</t>
  </si>
  <si>
    <t xml:space="preserve"> 5/- Lệ phí trước bạ</t>
  </si>
  <si>
    <t xml:space="preserve"> 6/- Thuế sử dụng đất nông nghiệp</t>
  </si>
  <si>
    <t xml:space="preserve"> 7/- Thuế sử dụng đất phi nông nghiệp</t>
  </si>
  <si>
    <t xml:space="preserve"> 8/- Thuế thu nhập cá nhân</t>
  </si>
  <si>
    <t xml:space="preserve"> 9/- Thuế bảo vệ môi trường</t>
  </si>
  <si>
    <t xml:space="preserve"> 10/- Thu phí, lệ phí</t>
  </si>
  <si>
    <t xml:space="preserve">  10.1- Phí, lệ phí Trung ương</t>
  </si>
  <si>
    <t xml:space="preserve">  10.2- Phí, lệ phí Địa phương</t>
  </si>
  <si>
    <t xml:space="preserve"> 11/- Thu tiền sử dụng đất</t>
  </si>
  <si>
    <t xml:space="preserve"> 12/- Thu tiền thuê đất, mặt nước</t>
  </si>
  <si>
    <t xml:space="preserve"> 13/- Thu tiền cho thuê và bán nhà ở thuộc sở hữu nhà nước</t>
  </si>
  <si>
    <t xml:space="preserve"> 14/- Thu khác ngân sách</t>
  </si>
  <si>
    <t xml:space="preserve"> 15/- Thu từ quỹ đất công ích và thu hoa lợi công sản khác</t>
  </si>
  <si>
    <t xml:space="preserve"> 16/- Thu từ hoạt động xổ số kiến thiết</t>
  </si>
  <si>
    <t xml:space="preserve"> 17/- Thu tại xã</t>
  </si>
  <si>
    <t xml:space="preserve">  17.1- Thu tiền cho thuê quầy hàng, bán hàng</t>
  </si>
  <si>
    <t xml:space="preserve">  17.2- Thu hồi các khoản chi năm trước (xã)</t>
  </si>
  <si>
    <t xml:space="preserve">  17.3- Thu phạt, tịch thu (xã)</t>
  </si>
  <si>
    <t xml:space="preserve">    Trong đó: Phạt an toàn giao thông</t>
  </si>
  <si>
    <t xml:space="preserve">  17.4- Thu khác (xã)</t>
  </si>
  <si>
    <t xml:space="preserve"> 18/- Các khoản thu về nhà, đất và khoáng sản</t>
  </si>
  <si>
    <t xml:space="preserve">  13.1- Thu thuế chuyển quyền sử dụng đất</t>
  </si>
  <si>
    <t xml:space="preserve">  13.2- Thu tiền cấp quyền khai thác khoáng sản</t>
  </si>
  <si>
    <t xml:space="preserve">    - Trong đó: Phạt an toàn giao thông</t>
  </si>
  <si>
    <t xml:space="preserve">  13.3- Thu tịch thu (không kể tịch thu tại xã)</t>
  </si>
  <si>
    <t xml:space="preserve">  13.4- Thu hồi các khoản chi năm trước</t>
  </si>
  <si>
    <t xml:space="preserve">  13.5- Thu khác còn lại (không kể thu khác tại xã)</t>
  </si>
  <si>
    <t xml:space="preserve"> II/-Thu hải quan</t>
  </si>
  <si>
    <t xml:space="preserve"> 1/- Thuế xuất khẩu</t>
  </si>
  <si>
    <t xml:space="preserve"> 2/- Thuế nhập khẩu</t>
  </si>
  <si>
    <t xml:space="preserve"> 3/- Thuế bảo vệ môi trường do CQ Hải quan thực hiện</t>
  </si>
  <si>
    <t xml:space="preserve"> 4/- Thuế giá trị gia tăng hàng nhập khẩu</t>
  </si>
  <si>
    <t xml:space="preserve"> 5/- Khác</t>
  </si>
  <si>
    <t xml:space="preserve"> III/- Thu viện trợ</t>
  </si>
  <si>
    <t xml:space="preserve"> IV/- Các khoản huy động, đóng góp</t>
  </si>
  <si>
    <t xml:space="preserve"> 1/- Các khoản huy động đóng góp xây dựng cơ sở hạ tầng</t>
  </si>
  <si>
    <t xml:space="preserve"> 2/- Các khoản huy động đóng góp khác</t>
  </si>
  <si>
    <t xml:space="preserve"> 1/- Thu từ bán cổ phần, vốn góp của
Nhà nước nộp ngân sách</t>
  </si>
  <si>
    <t xml:space="preserve"> 2/- Thu từ quỹ dự trữ tài chính</t>
  </si>
  <si>
    <t xml:space="preserve"> B/- VAY CỦA NGÂN SÁCH
ĐỊA PHƯƠNG</t>
  </si>
  <si>
    <t xml:space="preserve"> I/- Vay bù đắp bội chi NSĐP</t>
  </si>
  <si>
    <t xml:space="preserve"> 1/- Vay trong nước</t>
  </si>
  <si>
    <t xml:space="preserve"> 2/- Vay lại từ nguồn Chính phủ vay ngoài nước</t>
  </si>
  <si>
    <t xml:space="preserve"> II/- Vay để trả nợ gốc vay</t>
  </si>
  <si>
    <t xml:space="preserve"> C/- THU CHUYỂN GIAO NGÂN SÁCH</t>
  </si>
  <si>
    <t xml:space="preserve"> I/- Thu bổ sung từ ngân sách cấp trên</t>
  </si>
  <si>
    <t xml:space="preserve"> 1/- Bổ sung cân đối</t>
  </si>
  <si>
    <t xml:space="preserve"> 2/- Bổ sung có mục tiêu</t>
  </si>
  <si>
    <t xml:space="preserve"> 2.1/- Bổ sung có mục tiêu bằng nguồn vốn trong nước</t>
  </si>
  <si>
    <t xml:space="preserve"> 2.2/- Bổ sung có mục tiêu bằng nguồn vốn ngoài nước</t>
  </si>
  <si>
    <t xml:space="preserve"> II/- Thu từ ngân sách cấp dưới nộp lên</t>
  </si>
  <si>
    <t xml:space="preserve"> D/- THU CHUYỂN NGUỒN</t>
  </si>
  <si>
    <t xml:space="preserve"> E/- THU KẾT DƯ NGÂN SÁCH</t>
  </si>
  <si>
    <t xml:space="preserve"> IV/- THU TỪ QUỸ DỰ TRỮ TÀI CHÍNH</t>
  </si>
  <si>
    <t>CŨ TRỞ XuỐNG</t>
  </si>
  <si>
    <t xml:space="preserve"> V/- THU KẾT DƯ NGÂN SÁCH NĂM TRƯỚC</t>
  </si>
  <si>
    <t xml:space="preserve"> VI/- THU CHUYỂN NGUỒN</t>
  </si>
  <si>
    <t xml:space="preserve"> VII/- THU HUY ĐỘNG ĐẦU TƯ</t>
  </si>
  <si>
    <t xml:space="preserve"> B/- CÁC KHOẢN THU ĐƯỢC ĐỂ LẠI ĐƠN VỊ </t>
  </si>
  <si>
    <t>CHI QUẢN LÝ QUA NSNN</t>
  </si>
  <si>
    <t xml:space="preserve"> 1/- Học phí</t>
  </si>
  <si>
    <t xml:space="preserve"> 2/- Các khoản huy động, đóng góp xây dựng CSHT</t>
  </si>
  <si>
    <t xml:space="preserve"> 3/- Thu từ xổ số kiến thiết</t>
  </si>
  <si>
    <t xml:space="preserve">  3.1- Thuế giá trị gia tăng</t>
  </si>
  <si>
    <t xml:space="preserve">  3.3- Thu nhập sau thuế thu nhập doanh nghiệp</t>
  </si>
  <si>
    <t xml:space="preserve">  3.4- Thuế tiêu thụ đặc biệt hàng nội địa</t>
  </si>
  <si>
    <t xml:space="preserve">  3.5- Thuế môn bài</t>
  </si>
  <si>
    <t xml:space="preserve"> C/- THU BỔ SUNG TỪ NGÂN SÁCH CẤP TRÊN</t>
  </si>
  <si>
    <t xml:space="preserve">  1/- Bổ sung cân đối</t>
  </si>
  <si>
    <t xml:space="preserve">  2/- Bổ sung có mục tiêu</t>
  </si>
  <si>
    <t xml:space="preserve">    2.1- BS có mục tiêu bằng nguồn vốn trong nước</t>
  </si>
  <si>
    <t xml:space="preserve">    2.2- BS có mục tiêu bằng nguồn vốn ngoài nước</t>
  </si>
  <si>
    <t xml:space="preserve">    2.3- Tạm thu BS có mục tiêu (TW tạm ứng hụt thu và tạm ứng nguồn làm lương)</t>
  </si>
  <si>
    <t xml:space="preserve"> D/- THU TỪ NGÂN SÁCH CẤP DƯỚI NỘP LÊN</t>
  </si>
  <si>
    <t>TỔNG THU (A+B+C+D)</t>
  </si>
  <si>
    <t>F/- TẠM THU NGÂN SÁCH</t>
  </si>
  <si>
    <t>Giám đốc KBNN tỉnh Cà Mau</t>
  </si>
  <si>
    <t>Giám đốc Sở Tài chính</t>
  </si>
  <si>
    <t>QUYẾT TOÁN TỔNG HỢP CHI NSĐP NĂM 2017</t>
  </si>
  <si>
    <t>Quyết toán chi năm 2017</t>
  </si>
  <si>
    <t>Tổng số</t>
  </si>
  <si>
    <t>So cùng</t>
  </si>
  <si>
    <t>Chi NSĐP</t>
  </si>
  <si>
    <t>NS Tỉnh</t>
  </si>
  <si>
    <t>CTMT TX</t>
  </si>
  <si>
    <t xml:space="preserve">CTMT ĐT </t>
  </si>
  <si>
    <t>NS Huyện</t>
  </si>
  <si>
    <t>NS Xã</t>
  </si>
  <si>
    <t>kỳ 2009</t>
  </si>
  <si>
    <t>(3)=(4)+(5)+(6)</t>
  </si>
  <si>
    <t>(4)</t>
  </si>
  <si>
    <t>(5)</t>
  </si>
  <si>
    <t>CTMT_H</t>
  </si>
  <si>
    <t>CTMT_DT</t>
  </si>
  <si>
    <t>(6)</t>
  </si>
  <si>
    <t>CTMT_X</t>
  </si>
  <si>
    <t>(7)=(3):(1)</t>
  </si>
  <si>
    <t>(8)=(3):(2)</t>
  </si>
  <si>
    <t>CHI CÂN ĐỐI NGÂN SÁCH (I -&gt;VIII)</t>
  </si>
  <si>
    <t>1.1</t>
  </si>
  <si>
    <t>Chi quốc phòng</t>
  </si>
  <si>
    <t>1.2</t>
  </si>
  <si>
    <t>Chi an ninh và trật tự an toàn xã hội</t>
  </si>
  <si>
    <t>1.3</t>
  </si>
  <si>
    <t>Chi giáo dục - đào tạo và dạy nghề</t>
  </si>
  <si>
    <t>1.4</t>
  </si>
  <si>
    <t>Chi khoa học và công nghệ</t>
  </si>
  <si>
    <t>1.5</t>
  </si>
  <si>
    <t>Chi y tế, dân số và gia đình</t>
  </si>
  <si>
    <t>1.6</t>
  </si>
  <si>
    <t>Chi văn hóa thông tin</t>
  </si>
  <si>
    <t>1.7</t>
  </si>
  <si>
    <t>Chi phát thanh, truyền hình, thông tấn</t>
  </si>
  <si>
    <t>1.8</t>
  </si>
  <si>
    <t>Chỉ thể dục thể thao</t>
  </si>
  <si>
    <t>1.9</t>
  </si>
  <si>
    <t>Chi bảo vệ môi trường</t>
  </si>
  <si>
    <t>1.10</t>
  </si>
  <si>
    <t>Chi các hoạt động kinh tế</t>
  </si>
  <si>
    <t>1.11</t>
  </si>
  <si>
    <t>Chi hoạt động của các cơ quan QLNN, Đảng, đoàn thể</t>
  </si>
  <si>
    <t>1.12</t>
  </si>
  <si>
    <t>Chi bảo đảm xã hội</t>
  </si>
  <si>
    <t>1.13</t>
  </si>
  <si>
    <t>Chi ngành, lĩnh vực khác</t>
  </si>
  <si>
    <t>Chi đầu tư và hỗ trợ vốn cho các doanh nghiệp hoạt động công ích,…</t>
  </si>
  <si>
    <t>Chi đầu tư phát triển khác</t>
  </si>
  <si>
    <t>Trong đó: + Chi Giáo dục Đào tạo và Dạy nghề</t>
  </si>
  <si>
    <t>QLQNS</t>
  </si>
  <si>
    <t xml:space="preserve">                   + Chi khoa học và công nghệ</t>
  </si>
  <si>
    <t xml:space="preserve">Chi đầu tư XDCB tập trung </t>
  </si>
  <si>
    <t>Trong đó: Chi bổ sung quỹ phát triển đất</t>
  </si>
  <si>
    <t>Chi trả lãi và phí vay</t>
  </si>
  <si>
    <t xml:space="preserve">Chi đầu tư từ nguồn huy động </t>
  </si>
  <si>
    <t>Chi khác</t>
  </si>
  <si>
    <t>Chi trợ giá</t>
  </si>
  <si>
    <t>Chi sự nghiệp kinh tế</t>
  </si>
  <si>
    <t>2.1</t>
  </si>
  <si>
    <t>Chi sự nghiệp nông, lâm, thuỷ lợi</t>
  </si>
  <si>
    <t>2.2</t>
  </si>
  <si>
    <t>Chi sự nghiệp giao thông</t>
  </si>
  <si>
    <t>2.3</t>
  </si>
  <si>
    <t>Chi sự nghiệp kinh tế khác</t>
  </si>
  <si>
    <t>Chi sự nghiệp giáo dục, đào tạo và dạy nghề</t>
  </si>
  <si>
    <t>3.1</t>
  </si>
  <si>
    <t>Chi sự nghiệp giáo dục</t>
  </si>
  <si>
    <t>3.2</t>
  </si>
  <si>
    <t>Chi sự nghiệp đào tạo và dạy nghề</t>
  </si>
  <si>
    <t>3.3</t>
  </si>
  <si>
    <t>Chi đào tạo lại</t>
  </si>
  <si>
    <t>Chi sự nghiệp y tế</t>
  </si>
  <si>
    <t>Chi sự nghiệp khoa học, công nghệ</t>
  </si>
  <si>
    <t>Chi sự nghiệp hoạt động môi trường</t>
  </si>
  <si>
    <t>Sự nghiệp Văn hóa</t>
  </si>
  <si>
    <t>Sự nghiệp Thể thao</t>
  </si>
  <si>
    <t>Chi sự nghiệp phát thanh truyền hình</t>
  </si>
  <si>
    <t>Chi sự nghiệp đảm bảo xã hội</t>
  </si>
  <si>
    <t>Chi quản lý hành chính, đảng, đoàn thể</t>
  </si>
  <si>
    <t>11.1</t>
  </si>
  <si>
    <t>Chi quản lý nhà nước</t>
  </si>
  <si>
    <t>11.2</t>
  </si>
  <si>
    <t>Chi hoạt động Đảng, tổ chức chính trị</t>
  </si>
  <si>
    <t>11.3</t>
  </si>
  <si>
    <t>Chi hỗ trợ Hội, Đoàn thể</t>
  </si>
  <si>
    <t>Chi an ninh</t>
  </si>
  <si>
    <t>Chi trả nợ huy động khoản 3, Điều 8, Luật NSNN</t>
  </si>
  <si>
    <t>IV</t>
  </si>
  <si>
    <t>V</t>
  </si>
  <si>
    <t>Dự phòng ngân sách</t>
  </si>
  <si>
    <t>VI</t>
  </si>
  <si>
    <t>Chi chuyển nguồn</t>
  </si>
  <si>
    <t>VII</t>
  </si>
  <si>
    <t>Chi nguồn làm lương</t>
  </si>
  <si>
    <t>IX</t>
  </si>
  <si>
    <t>Chi hỗ trợ có mục tiêu, CTMTQG</t>
  </si>
  <si>
    <t>Chương trình mục tiêu quốc gia</t>
  </si>
  <si>
    <t>Chương trình giảm nghèo bền vững</t>
  </si>
  <si>
    <t>Chương trình MTQG Xây dựng nông thôn mới</t>
  </si>
  <si>
    <t>Chương trình mục tiêu giáo dục và đào tạo</t>
  </si>
  <si>
    <t>Chương trình MTQG Dân số và Kế hoạch hóa gia đình</t>
  </si>
  <si>
    <t>Chương trình mục tiêu  quốc gia về văn hóa</t>
  </si>
  <si>
    <t>Chương trình MTQG về việc làm và dạy nghề</t>
  </si>
  <si>
    <t>Chương trình HT đảm bảo CL giáo dục trường học</t>
  </si>
  <si>
    <t>Chương trình mục tiêu quốc gia y tế</t>
  </si>
  <si>
    <t>Một số mục tiêu, nhiệm vụ khác</t>
  </si>
  <si>
    <t>CHI BỔ SUNG CHO NGÂN SÁCH CẤP DƯỚI</t>
  </si>
  <si>
    <t>Bổ sung cân đối</t>
  </si>
  <si>
    <t>Bổ sung có mục tiêu</t>
  </si>
  <si>
    <t>Bổ sung có mục tiêu bằng nguồn vốn trong nước</t>
  </si>
  <si>
    <t>Bổ sung có mục tiêu bằng nguồn vốn ngoài nước</t>
  </si>
  <si>
    <t>CHI NỘP NGÂN SÁCH CẤP TRÊN</t>
  </si>
  <si>
    <t>TỔNG SỐ (A+B+C)</t>
  </si>
  <si>
    <t xml:space="preserve">Giám đốc KBNN tỉnh Cà Mau     </t>
  </si>
  <si>
    <t>Quyết toán năm 2017</t>
  </si>
  <si>
    <t>Bao gồm</t>
  </si>
  <si>
    <t>I/- Chi đầu tư phát triển</t>
  </si>
  <si>
    <t>II/- Chi thường xuyên</t>
  </si>
  <si>
    <t>VI/- Chi</t>
  </si>
  <si>
    <t>Huyện, thành phố</t>
  </si>
  <si>
    <t>Tr.đó: Chi ĐT XDCB</t>
  </si>
  <si>
    <t>Trong đó</t>
  </si>
  <si>
    <t>- CTMT QG</t>
  </si>
  <si>
    <t>- Hỗ trợ có mục tiêu</t>
  </si>
  <si>
    <t>quản lý</t>
  </si>
  <si>
    <t>Giáo dục</t>
  </si>
  <si>
    <t>qua</t>
  </si>
  <si>
    <t>TS</t>
  </si>
  <si>
    <t xml:space="preserve"> -TX</t>
  </si>
  <si>
    <t>HP</t>
  </si>
  <si>
    <t>VP</t>
  </si>
  <si>
    <t>XSKT</t>
  </si>
  <si>
    <t>TĐ:GD</t>
  </si>
  <si>
    <t>DG_XD</t>
  </si>
  <si>
    <t>DG1</t>
  </si>
  <si>
    <t>DG2</t>
  </si>
  <si>
    <t>TS GD</t>
  </si>
  <si>
    <t>ĐBXH</t>
  </si>
  <si>
    <t>Khac</t>
  </si>
  <si>
    <t>GDDT</t>
  </si>
  <si>
    <t>GD-ĐTư</t>
  </si>
  <si>
    <t>ĐT #</t>
  </si>
  <si>
    <t>QLNN</t>
  </si>
  <si>
    <t>Kinh tế</t>
  </si>
  <si>
    <t>YT</t>
  </si>
  <si>
    <t>VH</t>
  </si>
  <si>
    <t>Nha 167</t>
  </si>
  <si>
    <t>134+74</t>
  </si>
  <si>
    <t>TỔNG SỐ</t>
  </si>
  <si>
    <t>Thành phố Cà Mau</t>
  </si>
  <si>
    <t>Huyện U Minh</t>
  </si>
  <si>
    <t>Huyện Thới Bình</t>
  </si>
  <si>
    <t>Huyện Trần Văn Thời</t>
  </si>
  <si>
    <t>Huyện Cái Nước</t>
  </si>
  <si>
    <t>Huyện Đầm Dơi</t>
  </si>
  <si>
    <t>Huyện Năm Căn</t>
  </si>
  <si>
    <t>Huyện Phú Tân</t>
  </si>
  <si>
    <t>Huyện Ngọc Hiển</t>
  </si>
  <si>
    <t xml:space="preserve">     SỞ TÀI CHÍNH</t>
  </si>
  <si>
    <t>Đơn vị : triệu đồng</t>
  </si>
  <si>
    <t>Nội dung</t>
  </si>
  <si>
    <t xml:space="preserve">TRƯỞNG PHÒNG QL NGÂN SÁCH </t>
  </si>
  <si>
    <t>GIÁM ĐỐC</t>
  </si>
  <si>
    <t>5</t>
  </si>
  <si>
    <t>VIII</t>
  </si>
  <si>
    <t>THUYẾT MINH TÌNH HÌNH SỬ DỤNG NGUỒN DỰ PHÒNG, TĂNG THU</t>
  </si>
  <si>
    <t>VÀ THƯỞNG VƯỢT THU CỦA NSĐP NĂM 2017</t>
  </si>
  <si>
    <t>Tăng thu NSĐP</t>
  </si>
  <si>
    <t>Thưởng vượt dự toán thu</t>
  </si>
  <si>
    <t>A/- Tổng nguồn</t>
  </si>
  <si>
    <t>B/- Tổng KP sử dụng đã được quyết toán chi NSĐP</t>
  </si>
  <si>
    <t xml:space="preserve"> I- Chi đầu tư phát triển</t>
  </si>
  <si>
    <t xml:space="preserve"> II- Chi hỗ trợ vốn doanh nghiệp nhà nước </t>
  </si>
  <si>
    <t xml:space="preserve"> III- Chi thường xuyên</t>
  </si>
  <si>
    <t xml:space="preserve"> 1. Sự nghiệp kinh tế</t>
  </si>
  <si>
    <t>Trong sự nghiệp kinh tế có chi hỗ trợ</t>
  </si>
  <si>
    <t xml:space="preserve"> 2. Sự nghiệp môi trường</t>
  </si>
  <si>
    <t xml:space="preserve"> 3. Sự nghiệp Văn hóa</t>
  </si>
  <si>
    <t xml:space="preserve"> 4. Sự nghiệp Thể thao</t>
  </si>
  <si>
    <t xml:space="preserve"> 5. Sự nghiệp Phát thanh truyền hình</t>
  </si>
  <si>
    <t xml:space="preserve"> 6. Sự nghiệp y tế</t>
  </si>
  <si>
    <t xml:space="preserve"> 7. Sự nghiệp đảm bảo xã hội</t>
  </si>
  <si>
    <t xml:space="preserve"> 6. Chi quản lý hành chính</t>
  </si>
  <si>
    <t xml:space="preserve"> 7. Chi an ninh quốc phòng</t>
  </si>
  <si>
    <t xml:space="preserve"> 8. Chi sự nghiệp giáo dục đào tạo</t>
  </si>
  <si>
    <t>2=3+4</t>
  </si>
  <si>
    <t>Chương trình mục tiêu phát triển hạ tầng du lịch</t>
  </si>
  <si>
    <t>Dự án đầu tư xây dựng hồ chứa nước ngọt trên đảo Hòn Khoai, tỉnh Cà Mau</t>
  </si>
  <si>
    <t>Đơn vị : Triệu đồng</t>
  </si>
  <si>
    <t>NS cấp tỉnh</t>
  </si>
  <si>
    <t>NS cấp huyện</t>
  </si>
  <si>
    <t>NS cấp xã</t>
  </si>
  <si>
    <t>Hỗ trợ khắc phục hậu quả</t>
  </si>
  <si>
    <t>I/- Nguồn trong nước</t>
  </si>
  <si>
    <t>hạn hán, xâm nhập mặn</t>
  </si>
  <si>
    <t xml:space="preserve"> 1/- Trung ương bổ sung</t>
  </si>
  <si>
    <t xml:space="preserve"> 2/- Các tổ chức, cá nhân trong nước ủng hộ</t>
  </si>
  <si>
    <t xml:space="preserve"> 3/- Nguồn của NSĐP</t>
  </si>
  <si>
    <t xml:space="preserve"> 4/- Các nguồn khác</t>
  </si>
  <si>
    <t>II/- Nguồn viện trợ nước ngoài</t>
  </si>
  <si>
    <t>B/- Tổng kinh phí sử dụng đã được quyết toán chi NSĐP</t>
  </si>
  <si>
    <t xml:space="preserve"> I/- Chi đầu tư XDCB</t>
  </si>
  <si>
    <t xml:space="preserve"> II/- Chi thường xuyên</t>
  </si>
  <si>
    <t>THUYẾT MINH TĂNG, GIẢM CHI QUẢN LÝ HÀNH CHÍNH, ĐẢNG, ĐOÀN THỂ NĂM 2017</t>
  </si>
  <si>
    <t>H</t>
  </si>
  <si>
    <t xml:space="preserve">   + Tiền lương tăng thêm</t>
  </si>
  <si>
    <t xml:space="preserve">   + Phụ cấp trưởng phó công an xã</t>
  </si>
  <si>
    <t xml:space="preserve">   + Chế độ CS đối với những người hoạt động không chuyên trách 
xã phường, thị trấn</t>
  </si>
  <si>
    <t>X</t>
  </si>
  <si>
    <t xml:space="preserve">  Trong đó: - Số ô tô tăng</t>
  </si>
  <si>
    <t xml:space="preserve">                  - Số kinh phí tăng</t>
  </si>
  <si>
    <t>Bờ kè chợ nổi trên sông</t>
  </si>
  <si>
    <t>7007279</t>
  </si>
  <si>
    <t>7018906</t>
  </si>
  <si>
    <t>Hệ thống thủy lợi phụ vụ nuôi trồng thủy sản Tân Duyệt</t>
  </si>
  <si>
    <t>Dự án đầu tư xây dựng đường nội bộ Khu công viên Văn hóa - Du lịch Mũi Cà Mau</t>
  </si>
  <si>
    <t xml:space="preserve">Đối ứng Dự án quản lý thủy lợi phục vụ phát triển nông thôn vùng ĐBSCL (Hệ thống thủy lợi Tiểu vùng X - Nam Cà Mau) </t>
  </si>
  <si>
    <t>Dự án nâng cấp đô thị vùng ĐBSCL-Tiểu dự án thành phố Cà Mau</t>
  </si>
  <si>
    <t>Bệnh viện đa khoa U Minh</t>
  </si>
  <si>
    <t>DA xây dựng cơ sở II trường TH-KT-Kỹ thuật -CM</t>
  </si>
  <si>
    <t>Bệnh viện đa khoa huyện Phú Tân</t>
  </si>
  <si>
    <t>Xây dựng 04 Trạm Kiểm lâm (Biện Trượng, Bãi Bồi, Rạch Vàm, Vàm Xoáy) thuộc Vườn Quốc gia Mũi Cà Mau</t>
  </si>
  <si>
    <t>7555302</t>
  </si>
  <si>
    <t>7536916</t>
  </si>
  <si>
    <t>7546268</t>
  </si>
  <si>
    <t>Cầu Văn hóa, thị trấn Cái Nước, huyện Cái Nước</t>
  </si>
  <si>
    <t>7556274</t>
  </si>
  <si>
    <t>7553073</t>
  </si>
  <si>
    <t xml:space="preserve">Đối ứng Dự án đầu tư xây dựng Hệ thống thoát nước và xử lý nước thải thành phố Cà Mau </t>
  </si>
  <si>
    <t>Cầu qua sông Tắc Thủ thuộc đường Vành đai 1, thành phố Cà Mau</t>
  </si>
  <si>
    <t>7440195</t>
  </si>
  <si>
    <t>Nâng cấp, mở rộng đường Đầm Dơi - Cái Nước - Cái Đôi Vàm (đoạn từ Quốc lộ 1 đến cống Cây Hương), TT. Cái Nước, huyện Cái Nước</t>
  </si>
  <si>
    <t>7544671</t>
  </si>
  <si>
    <t>Bờ kè, lót vỉa hè trước Khu Hành chính huyện Đầm Dơi</t>
  </si>
  <si>
    <t>7542369</t>
  </si>
  <si>
    <t>7492853</t>
  </si>
  <si>
    <t>Trụ sở làm việc Phòng Tài chính - Kế hoạch huyện Trần Văn Thời</t>
  </si>
  <si>
    <t>Hàng rào Khu trung tâm hành chính huyện Ngọc Hiển</t>
  </si>
  <si>
    <t>7546552</t>
  </si>
  <si>
    <t>7546549</t>
  </si>
  <si>
    <t>Cải tạo, nâng cấp trụ sở hành chính thị trấn Thới Bình, huyện Thới Bình</t>
  </si>
  <si>
    <t>Kho lưu trữ tài liệu cơ quan hành chính huyện Thới Bình</t>
  </si>
  <si>
    <t>Trụ sở làm việc Ban Quản lý rừng phòng hộ Đất Mũi, huyện Ngọc Hiển</t>
  </si>
  <si>
    <t>7554947</t>
  </si>
  <si>
    <t>Dự án khởi công mới</t>
  </si>
  <si>
    <t xml:space="preserve">Đối ứng Dự án đầu tư xây dựng cảng Cà Mau </t>
  </si>
  <si>
    <t xml:space="preserve">Trụ sở Sở Giao thông Vận tải </t>
  </si>
  <si>
    <t>Bệnh viện Điều dưỡng và Phục hồi chức năng</t>
  </si>
  <si>
    <t>Trung tâm Y tế huyện Phú Tân</t>
  </si>
  <si>
    <t>Trung tâm Y tế huyện Thới Bình</t>
  </si>
  <si>
    <t>Công trình mới</t>
  </si>
  <si>
    <t>Trung tâm Y tế huyện Đầm Dơi</t>
  </si>
  <si>
    <t>Trung tâm Y tế huyện Trần Văn Thời</t>
  </si>
  <si>
    <t>Mua sắm trang thiết bị y tế cho Bệnh viện Sản - Nhi tỉnh Cà Mau (giai đoạn 2)</t>
  </si>
  <si>
    <t>LĨNH VỰC GIÁO DỤC VÀ ĐÀO TẠO</t>
  </si>
  <si>
    <t>Trung tâm Bồi dưỡng chính trị huyện Phú Tân</t>
  </si>
  <si>
    <t>Trường THCS thị trấn Năm Căn (giai đoạn 2)</t>
  </si>
  <si>
    <t>Đối ứng Trường Cao đẳng nghề Việt Nam - Hàn Quốc tỉnh Cà Mau</t>
  </si>
  <si>
    <t>7007950</t>
  </si>
  <si>
    <t>Trường THCS Hòa Mỹ, huyện Cái Nước</t>
  </si>
  <si>
    <t>Trường THCS Tân Hưng Đông, huyện Cái Nước</t>
  </si>
  <si>
    <t>Trường THCS Hiệp Tùng, huyện Năm Căn</t>
  </si>
  <si>
    <t>Trường Mẫu giáo Tạ An Khương, huyện Đầm Dơi</t>
  </si>
  <si>
    <t>LĨNH VỰC VĂN HÓA - XÃ HỘI</t>
  </si>
  <si>
    <t>Xây dựng Salatel cho vùng đồng bào dân tộc Khmer giai đoạn 2012 - 2015 trên địa bàn tỉnh Cà Mau</t>
  </si>
  <si>
    <t>Bảo tàng tỉnh Cà Mau</t>
  </si>
  <si>
    <t>Trung tâm Phát sóng truyền hình tỉnh Cà Mau</t>
  </si>
  <si>
    <t>Trung tâm Văn hóa - Thể thao xã Tạ An Khương, huyện Đầm Dơi</t>
  </si>
  <si>
    <t>D</t>
  </si>
  <si>
    <t>LĨNH VỰC NÔNG NGHIỆP, XÂY DỰNG NÔNG THÔN MỚI</t>
  </si>
  <si>
    <t>7089451</t>
  </si>
  <si>
    <t>7008862</t>
  </si>
  <si>
    <t>7008874</t>
  </si>
  <si>
    <t>7021553</t>
  </si>
  <si>
    <t>7</t>
  </si>
  <si>
    <t>8</t>
  </si>
  <si>
    <t>7021576</t>
  </si>
  <si>
    <t>9</t>
  </si>
  <si>
    <t>7021597</t>
  </si>
  <si>
    <t>10</t>
  </si>
  <si>
    <t>7021529</t>
  </si>
  <si>
    <t>11</t>
  </si>
  <si>
    <t>12</t>
  </si>
  <si>
    <t>13</t>
  </si>
  <si>
    <t>14</t>
  </si>
  <si>
    <t>Tuyến đường ôtô đến trung tâm xã Đất Mũi, huyện Ngọc Hiển</t>
  </si>
  <si>
    <t>7003165</t>
  </si>
  <si>
    <t>15</t>
  </si>
  <si>
    <t>16</t>
  </si>
  <si>
    <t>Tuyến đường ô tô đến trung tâm xã Khánh Thuận, huyện U Minh</t>
  </si>
  <si>
    <t>17</t>
  </si>
  <si>
    <t>7478495</t>
  </si>
  <si>
    <t>18</t>
  </si>
  <si>
    <t>19</t>
  </si>
  <si>
    <t>20</t>
  </si>
  <si>
    <t>Cầu qua sông Rạch Gốc, xã Tân Ân, huyện Ngọc Hiển</t>
  </si>
  <si>
    <t>7546546</t>
  </si>
  <si>
    <t>Đối ứng Dự án đầu tư Hợp phần cung cấp nước sạch và VSMTNT tỉnh Cà Mau (WB6)</t>
  </si>
  <si>
    <t>Trụ sở hành chính xã Tân Trung, huyện Đầm Dơi</t>
  </si>
  <si>
    <t>Trụ sở hành chính xã Tân Phú, huyện Thới Bình</t>
  </si>
  <si>
    <t>Trụ sở hành chính xã Khánh Lộc, huyện Trần Văn Thời</t>
  </si>
  <si>
    <t>Trụ sở hành chính xã Phong Lạc, huyện Trần Văn Thời</t>
  </si>
  <si>
    <t>Trụ sở hành chính xã Tam Giang, huyện Năm Căn</t>
  </si>
  <si>
    <t>Trụ sở hành chính xã Phú Mỹ, huyện Phú Tân</t>
  </si>
  <si>
    <t>Trụ sở hành chính xã Trần Thới, huyện Cái Nước</t>
  </si>
  <si>
    <t>Trụ sở hành chính xã Đông Hưng, huyện Cái Nước</t>
  </si>
  <si>
    <t>Trụ sở hành chính xã Tân Ân, huyện Ngọc Hiển</t>
  </si>
  <si>
    <t>Trụ sở hành chính xã Tạ An Khương, huyện Đầm Dơi</t>
  </si>
  <si>
    <t>E</t>
  </si>
  <si>
    <t>Bệnh viện Lao và bệnh phổi tỉnh Cà Mau</t>
  </si>
  <si>
    <t>Trụ sở hành chính xã Tân Bằng, huyện Thới Bình</t>
  </si>
  <si>
    <t>Trụ sở hành chính xã Hồ Thị Kỷ, huyện Thới Bình</t>
  </si>
  <si>
    <t>Trụ sở hành chính xã Khánh Tiến, huyện U Minh</t>
  </si>
  <si>
    <t>Trụ sở hành chính xã Nguyễn Việt Khái, huyện Phú Tân</t>
  </si>
  <si>
    <t>Trụ sở hành chính xã Viên An Đông, huyện Ngọc Hiển</t>
  </si>
  <si>
    <t>Trụ sở hành chính xã Hòa Tân, thành phố Cà Mau</t>
  </si>
  <si>
    <t>Bệnh viện đa khoa khu vực Đầm Dơi</t>
  </si>
  <si>
    <t>7003533</t>
  </si>
  <si>
    <t>7008259</t>
  </si>
  <si>
    <t>7059535</t>
  </si>
  <si>
    <t>7418403</t>
  </si>
  <si>
    <t>7211283</t>
  </si>
  <si>
    <t>Xây dựng mới 05 cây cầu trên tuyến đường ô tô trung tâm xã Quách Phẩm, huyện Đầm Dơi</t>
  </si>
  <si>
    <t>7007534</t>
  </si>
  <si>
    <t>Vườn Quốc gia U Minh Hạ</t>
  </si>
  <si>
    <t>Dự án đầu tư nâng cấp đê biển Tây tỉnh Cà Mau</t>
  </si>
  <si>
    <t>Dự án đầu tư nâng cao năng lực PCCCR tỉnh Cà Mau giai đoạn 2</t>
  </si>
  <si>
    <t>Cầu Rạch Ruộng Nhỏ, huyện Trần văn Thời</t>
  </si>
  <si>
    <t>Công trình thủy lợi của huyện Đầm Dơi</t>
  </si>
  <si>
    <t>Xây dựng tuyến giao thông bộ khu DLQG sinh thái rừng ngập mặn Cà Mau</t>
  </si>
  <si>
    <t>Dự án đầu tư xây dựng kè chống sạt lở Mũi Cà Mau</t>
  </si>
  <si>
    <t>Tiểu DA Khu tái định cư cầu Rạch Ruộng Nhỏ</t>
  </si>
  <si>
    <t>7506608</t>
  </si>
  <si>
    <t>2.4</t>
  </si>
  <si>
    <t>trong b3-01 giáo dục</t>
  </si>
  <si>
    <t>chi tx huyện (có xã) trên b3-01</t>
  </si>
  <si>
    <t>dtpt tab có xã của b3-01</t>
  </si>
  <si>
    <t>chi giáo dục và đào tạo b3 có xã</t>
  </si>
  <si>
    <t>KT</t>
  </si>
  <si>
    <t xml:space="preserve">    Trong đó: Ghi chi nguồn vốn ODA</t>
  </si>
  <si>
    <t>Chi đầu tư phát triển cho chương trình,
dự án theo lĩnh vực</t>
  </si>
  <si>
    <t>Ngày …... tháng   9  năm 2018</t>
  </si>
  <si>
    <t xml:space="preserve">  Ngày …... tháng   9  năm 2018</t>
  </si>
  <si>
    <t>Ngày …... tháng  9   năm 2018</t>
  </si>
  <si>
    <t>tỉnh hưởng cao do có nguồn thu xổ số</t>
  </si>
  <si>
    <t>Ngày      tháng  9  năm 2018</t>
  </si>
  <si>
    <t>Ngày       tháng  9  năm 2018</t>
  </si>
  <si>
    <t>Ngày          tháng  9  năm 2018</t>
  </si>
  <si>
    <t>Cà Mau, ngày . . . tháng 9 năm 2018</t>
  </si>
  <si>
    <t>Cà Mau, ngày . . . tháng  9  năm 2018</t>
  </si>
  <si>
    <t>Cà Mau, ngày …..tháng   9  năm 2018</t>
  </si>
  <si>
    <t>Tổng số chi cân đối ngân sách</t>
  </si>
  <si>
    <t>ket du</t>
  </si>
  <si>
    <t>Chi hoạt động của các cơ quan QLNN,
Đảng, đoàn thể</t>
  </si>
  <si>
    <t xml:space="preserve"> V/- Thu hồi vốn của Nhà nước và
thu từ quỹ dự trữ tài chính </t>
  </si>
  <si>
    <t xml:space="preserve"> 9. Chi sự nghiệp khoa học công nghệ</t>
  </si>
  <si>
    <t xml:space="preserve"> 10. Các khoản chi khác</t>
  </si>
  <si>
    <t>Cà Mau, ngày       tháng 9 năm 2018</t>
  </si>
  <si>
    <t>Mẫu biểu số 68</t>
  </si>
  <si>
    <t>huấn luyện công tác phòng chống thiên tai</t>
  </si>
  <si>
    <t>ok</t>
  </si>
  <si>
    <t>Mẫu biểu số 69</t>
  </si>
  <si>
    <t>BÁO CÁO TÌNH HÌNH KIỂM TOÁN, THANH TRA NĂM 2017</t>
  </si>
  <si>
    <t>Số kiến nghị của</t>
  </si>
  <si>
    <t>Số xử lý năm 2017</t>
  </si>
  <si>
    <t>Số tồn tại chưa xử lý</t>
  </si>
  <si>
    <t>Thanh tra</t>
  </si>
  <si>
    <t>Kiểm toán</t>
  </si>
  <si>
    <t>Kiến nghị của kiểm toán, thanh tra các năm trước còn tồn tại chưa xử lý</t>
  </si>
  <si>
    <t>Các khoản thu phải nộp ngân sách</t>
  </si>
  <si>
    <t>Kiểm toán năm 2017 (niên độ 2016)</t>
  </si>
  <si>
    <t>Kiểm toán năm 2010 (niên độ 2009)</t>
  </si>
  <si>
    <t>Các khoản ghi thu, ghi chi vào ngân sách</t>
  </si>
  <si>
    <t>Kiểm toán năm 2016 (niên độ 2015)</t>
  </si>
  <si>
    <t>Kiểm toán năm 2014 (niên độ 2013)</t>
  </si>
  <si>
    <t>Kiểm toán năm 2012 (niên độ 2011)</t>
  </si>
  <si>
    <t>Số chi sai chế độ phải xuất toán</t>
  </si>
  <si>
    <t>Nộp trả ngân sách</t>
  </si>
  <si>
    <t>Cơ quan tài chính giảm trừ cấp phát</t>
  </si>
  <si>
    <t>3.4</t>
  </si>
  <si>
    <t>Kiểm toán năm 2013 (niên độ 2012)</t>
  </si>
  <si>
    <t>3.5</t>
  </si>
  <si>
    <t>3.6</t>
  </si>
  <si>
    <t xml:space="preserve">Các khoản nợ đọng </t>
  </si>
  <si>
    <t>Kiến nghị của kiểm toán, thanh tra năm nay</t>
  </si>
  <si>
    <t>Nộp hoàn trả NS Trung Ương (rút vượt dự toán năm 2012)</t>
  </si>
  <si>
    <t>Thanh quyết toán tiền SDĐ đã tạm ứng</t>
  </si>
  <si>
    <t>Ban QLDA Đông Bắc nộp tiền SDĐ còn tại Ban vào NSNN</t>
  </si>
  <si>
    <t xml:space="preserve">Truy thu thuế tài nguyên </t>
  </si>
  <si>
    <t>Truy thu thuế nhà thầu</t>
  </si>
  <si>
    <t>Thu hồi nộp NSNN chênh lệch thu chi tại TT nước sạch và vệ sinh môi trường NT</t>
  </si>
  <si>
    <t>Thu hồi tạm ứng của 15 gói thầu</t>
  </si>
  <si>
    <t>Chuyển quyết toán ngân sách năm sau</t>
  </si>
  <si>
    <t xml:space="preserve">III </t>
  </si>
  <si>
    <t>Các vấn đề khác liên quan cần giải trình</t>
  </si>
  <si>
    <t>* Kết luận của Thanh tra năm 2017 lấy số liệu dự thảo vì chưa có bản kết luận chính thức</t>
  </si>
  <si>
    <t>Cà Mau, ngày         tháng  9  năm 2018</t>
  </si>
  <si>
    <t>lưu ý hỏi lại có nên báo cáo sl năm 2017 do thanh tra chỉ dự thảo</t>
  </si>
  <si>
    <t>Trong đó: Xây dựng cơ bản</t>
  </si>
  <si>
    <t xml:space="preserve">               Chi thường xuyên</t>
  </si>
  <si>
    <t>Trong đó: Chi thường xuyên</t>
  </si>
  <si>
    <t xml:space="preserve">               Xây dựng cơ bản</t>
  </si>
  <si>
    <t>Trong đó:  Xây dựng cơ bản</t>
  </si>
  <si>
    <t xml:space="preserve">                Chi thường xuyên</t>
  </si>
  <si>
    <t>Tổng cộng</t>
  </si>
  <si>
    <t>Nộp tiền sử dụng đất còn dư trên tài khoản tạm giữ của Sở Tài chính</t>
  </si>
  <si>
    <t>Cà Mau, ngày       tháng  9 năm 2018</t>
  </si>
  <si>
    <t>Số quyết toán chi tăng, giảm so dự toán</t>
  </si>
  <si>
    <t>Do chính sách thay đổi</t>
  </si>
  <si>
    <t>Nhiệm vụ chi đột xuất được bổ sung</t>
  </si>
  <si>
    <t xml:space="preserve">Mua sắm tài sản khác </t>
  </si>
  <si>
    <t>Sửa chữa nhà, trụ sở làm việc</t>
  </si>
  <si>
    <t>QT</t>
  </si>
  <si>
    <t>DT</t>
  </si>
  <si>
    <t>Giảm kinh phí do thực hiện chính sách
tin giản biên chế theo Nghị định 108/2014/NĐ-CP</t>
  </si>
  <si>
    <t>rồi ok</t>
  </si>
  <si>
    <t>BSKP thực hiện đề án trí thức trẻ ở xã, phường, thị trấn năm 2017</t>
  </si>
  <si>
    <t xml:space="preserve">        SỞ TÀI CHÍNH</t>
  </si>
  <si>
    <t>Cà Mau, ngày        tháng  9  năm 2018</t>
  </si>
  <si>
    <t>THUYẾT MINH CHI KHẮC PHỤC THIÊN TAI NĂM 2017</t>
  </si>
  <si>
    <t>vụ Đông Xuân 2016-2017</t>
  </si>
  <si>
    <t>rồi</t>
  </si>
  <si>
    <t xml:space="preserve">   UBND TỈNH CÀ MAU</t>
  </si>
  <si>
    <t>Mẫu biểu số 66</t>
  </si>
  <si>
    <t>Mẫu biểu số: 60</t>
  </si>
  <si>
    <t>Mẫu biểu số: 61</t>
  </si>
  <si>
    <t>Mẫu biểu số: 62</t>
  </si>
  <si>
    <t>Mẫu biểu số 67</t>
  </si>
  <si>
    <t>21</t>
  </si>
  <si>
    <t>22</t>
  </si>
  <si>
    <t>23</t>
  </si>
  <si>
    <t>Bệnh viện đa khoa khu vực Cái Nước</t>
  </si>
  <si>
    <t>13=2/1</t>
  </si>
  <si>
    <t xml:space="preserve">            - Trung ương bù hụt thu là</t>
  </si>
  <si>
    <t>Kết dư Nguồn XSKT vượt thu, sử dụng đất</t>
  </si>
  <si>
    <t>Mẫu biểu số 58</t>
  </si>
  <si>
    <t>ĐVT: Đồng</t>
  </si>
  <si>
    <t>Mã tính chất nguồn kinh phí</t>
  </si>
  <si>
    <t>Loại, Khoản</t>
  </si>
  <si>
    <t>Mục, Tiểu mục</t>
  </si>
  <si>
    <t>Số dư tài khoản tiền gửi</t>
  </si>
  <si>
    <t>Kinh phi thường xuyên</t>
  </si>
  <si>
    <t>a</t>
  </si>
  <si>
    <t>- Kinh phí được giao tự chủ</t>
  </si>
  <si>
    <t>b</t>
  </si>
  <si>
    <t>- Kinh phí được bổ sung sau ngày 30/9/ năm 2017</t>
  </si>
  <si>
    <t xml:space="preserve">      UBND TỈNH CÀ MAU
            SỞ TÀI CHÍNH</t>
  </si>
  <si>
    <t>c</t>
  </si>
  <si>
    <t>- Kinh phí được giao không tự chủ</t>
  </si>
  <si>
    <t>Kinh phí chương trình MTQG và
chương trình mục tiêu (chi tiết từng chương trình)</t>
  </si>
  <si>
    <t>SỐ DƯ TÀI KHOẢN TIỀN GỬI KINH PHÍ NGÂN SÁCH CẤP CỦA ĐƠN VỊ DỰ TOÁN
ĐƯỢC CHUYỂN NGUỒN SANG NĂM SAU CỦA CÁC ĐƠN VỊ THUỘC NGÂN SÁCH CÁC CẤP NĂM 2017
CHUYỂN SANG NĂM 2018</t>
  </si>
  <si>
    <t>GIÁM ĐỐC KBNN TỈNH CÀ MAU</t>
  </si>
  <si>
    <t>GIÁM ĐỐC SỞ TÀI CHÍNH</t>
  </si>
  <si>
    <t>Số TT</t>
  </si>
  <si>
    <t>Địa điểm mở tài khoản</t>
  </si>
  <si>
    <t>Mã dự án đầu tư</t>
  </si>
  <si>
    <t>Tổng mức đầu tư</t>
  </si>
  <si>
    <t>Lũy kế vốn đã thanh toán từ K/C đến hết niên độ năm trước</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</si>
  <si>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</si>
  <si>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2017</t>
  </si>
  <si>
    <t>Kế hoạch và thanh toán vốn đầu tư năm 2017</t>
  </si>
  <si>
    <t>Tổng cộng vốn đã thanh toán KLHT quyết toán trong năm 2017</t>
  </si>
  <si>
    <t>Lũy kế số vốn tạm ứng theo chế độ chưa thu hồi đến hết năm quyết toán</t>
  </si>
  <si>
    <t>Lũy kế số vốn đã thanh toán từ K/C đến hết năm 2017</t>
  </si>
  <si>
    <t>Kế hoạch vốn được kéo dài</t>
  </si>
  <si>
    <t>Thanh toán</t>
  </si>
  <si>
    <t>Kế hoạch vốn được phép kéo dài sang năm sau (nếu có)</t>
  </si>
  <si>
    <t>Số vốn còn lại chưa thanh toán hủy bỏ (nếu có)</t>
  </si>
  <si>
    <t>Kế hoạch vốn đầu tư năm 2017</t>
  </si>
  <si>
    <t>Chủ đầu tư</t>
  </si>
  <si>
    <t>Tr. đó: vốn tạm ứng theo chế độ chưa thu hồi</t>
  </si>
  <si>
    <t>Số vốn thanh toán KLHT</t>
  </si>
  <si>
    <t>Số vốn tạm ứng theo chế độ chưa thu hồi</t>
  </si>
  <si>
    <t>11=12+13</t>
  </si>
  <si>
    <t>15=10-11-14</t>
  </si>
  <si>
    <t>17=18+19</t>
  </si>
  <si>
    <t>21=16-17-20</t>
  </si>
  <si>
    <t>22=9+12+18</t>
  </si>
  <si>
    <t>23=7-8-9+13+19</t>
  </si>
  <si>
    <t>24=6+11+17</t>
  </si>
  <si>
    <t>TỔNG SỐ (I+II)</t>
  </si>
  <si>
    <t>VỐN ĐẦU TƯ TỪ NSĐP:</t>
  </si>
  <si>
    <t>Vốn đầu tư trong cân đối NSĐP (bao gồm cả vốn đầu tư từ nguồn thu tiền sử dụng đất, xổ số kiến thiết)</t>
  </si>
  <si>
    <t>(1)</t>
  </si>
  <si>
    <t>Cấp tỉnh quản lý</t>
  </si>
  <si>
    <t>(2)</t>
  </si>
  <si>
    <t>Cấp huyện quản lý</t>
  </si>
  <si>
    <t>(3)</t>
  </si>
  <si>
    <t>Cấp xã quản lý</t>
  </si>
  <si>
    <t>Vốn trái phiếu chính quyền địa phương:</t>
  </si>
  <si>
    <t>Lĩnh vực….</t>
  </si>
  <si>
    <t>NGUỒN VỐN NSTW:</t>
  </si>
  <si>
    <t>Vốn CTMT QG:</t>
  </si>
  <si>
    <t>Chương trình MTQG xây dựng nông thôn mới</t>
  </si>
  <si>
    <t>Chương trình MTQG giảm nghèo bền vững</t>
  </si>
  <si>
    <t>Vốn CTMT:</t>
  </si>
  <si>
    <t>Chương trình….</t>
  </si>
  <si>
    <t>Vốn nước ngoài:</t>
  </si>
  <si>
    <t>Vốn ODA giải ngân theo cơ chế tài chính trong nước:</t>
  </si>
  <si>
    <t>Ngành, lĩnh vực</t>
  </si>
  <si>
    <t>Vốn vay ODA và vốn vay ưu đãi của các nhà tài trợ nước ngoài:</t>
  </si>
  <si>
    <t>Vốn trái phiếu Chính phủ:</t>
  </si>
  <si>
    <t>Giao thông</t>
  </si>
  <si>
    <t>Thủy lợi</t>
  </si>
  <si>
    <t>Y tế</t>
  </si>
  <si>
    <t>Vốn công trái quốc gia:</t>
  </si>
  <si>
    <t>Vốn bổ sung từ nguồn dự phòng, tăng thu NSNN… (nếu có):</t>
  </si>
  <si>
    <t>Nguồn vốn…</t>
  </si>
  <si>
    <t>Vốn NSNN khác (nếu có):</t>
  </si>
  <si>
    <t>TỈNH CÀ MAU</t>
  </si>
  <si>
    <t>Giám đốc Vườn Quốc gia Mũi Cà Mau</t>
  </si>
  <si>
    <t>0961</t>
  </si>
  <si>
    <t xml:space="preserve">Công trình theo lệnh khẩn cấp phục vụ công tác PCCCR Vườn Quốc gia U Minh hạ </t>
  </si>
  <si>
    <t>Giám đốc Vườn Quốc gia U Minh hạ</t>
  </si>
  <si>
    <t>Đối ứng Dự án Thí điểm nâng cao hiệu quả thủy lợi nội đồng tại miền Tây Nam đồng bằng sông Cửu Long</t>
  </si>
  <si>
    <t>Giám đốc Sở Nông nghiệp và PTNT</t>
  </si>
  <si>
    <t>Hệ thống thủy lợi Tiểu vùng II - Nam Cà Mau</t>
  </si>
  <si>
    <t>Các công trình cấp nước tập trung nông thôn</t>
  </si>
  <si>
    <t>Nạo vét kênh 21, xây dựng cống đập T19, T21 Vườn Quốc gia U Minh hạ</t>
  </si>
  <si>
    <t>Trụ sở Hạt Kiểm lâm cụm đảo Hòn Khoai</t>
  </si>
  <si>
    <t xml:space="preserve">GIAO THÔNG </t>
  </si>
  <si>
    <t>Chủ tịch UBND huyện Phú Tân</t>
  </si>
  <si>
    <t>Giám đốc Ban QLDA xây dựng công trình Giao thông Cà Mau</t>
  </si>
  <si>
    <t>Cầu Nhị Nguyệt trên tuyến đường Cà Mau - Đầm Dơi</t>
  </si>
  <si>
    <t>7556689</t>
  </si>
  <si>
    <t xml:space="preserve">Đối ứng Dự án cải tạo và xây dựng hệ thống thoát nước và xử lý nước thải thành phố Cà Mau </t>
  </si>
  <si>
    <t>Giám đốc Ban QLDA công trình Xây dựng tỉnh Cà Mau</t>
  </si>
  <si>
    <t>Giám đốc Sở Giao thông Vận tải</t>
  </si>
  <si>
    <t>Chủ tịch UBND thành phố Cà Mau</t>
  </si>
  <si>
    <t>Cầu Lương Thực, thị trấn Cái Nước, huyện Cái Nước</t>
  </si>
  <si>
    <t>Chủ tịch UBND huyện Cái Nước</t>
  </si>
  <si>
    <t>Nâng cấp, mở rộng đường Đầm Dơi - Cái Nước - Cái Đôi Vàm, ĐT.986 (đoạn từ Quốc lộ 1 đến cống Cây Hương), thị trấn Cái Nước, huyện Cái Nước</t>
  </si>
  <si>
    <t>Tuyến đường Châu Văn Đặng (đoạn từ đường Nguyễn Tất Thành đến bờ bao Nông nghiệp), thị trấn Năm Căn, huyện Năm Căn</t>
  </si>
  <si>
    <t>Chủ tịch UBND huyện Năm Căn</t>
  </si>
  <si>
    <t>Chủ tịch UBND huyện Đầm Dơi</t>
  </si>
  <si>
    <t>Giám đốc Ban Quản lý dự án xây dựng công trình Giao thông Cà Mau</t>
  </si>
  <si>
    <t xml:space="preserve">Nâng cấp tuyến đường Cách mạng Tháng 8 (đoạn từ trụ sở khóm 2 đến đường Phan Ngọc Hiển), huyện Phú Tân </t>
  </si>
  <si>
    <t>7597269</t>
  </si>
  <si>
    <t xml:space="preserve">Tuyến đường Nam Kỳ Khởi Nghĩa, thị trấn Cái Đôi Vàm, huyện Phú Tân </t>
  </si>
  <si>
    <t>Công trình đầu tư kết cấu hạ tầng đường Nguyễn Mai (đoạn từ đường Lê Hồng Phong đến đường Lê Anh Xuân), TP. Cà Mau</t>
  </si>
  <si>
    <t>7565716</t>
  </si>
  <si>
    <t xml:space="preserve">Nạo vét 02 đoạn sông trong nội ô thành phố Cà Mau (đoạn từ Chùa Bà đến Giồng Kè và đoạn từ Ngã ba sông Gành Hào đến Cầu Nhum) </t>
  </si>
  <si>
    <t>HẠ TẦNG KHU KINH TẾ, KHU CÔNG NGHIỆP</t>
  </si>
  <si>
    <t>Trưởng Ban Quản lý Khu kinh tế tỉnh Cà Mau</t>
  </si>
  <si>
    <t>Công trình khởi công mới</t>
  </si>
  <si>
    <t xml:space="preserve">Dự án đầu tư xây dựng đường giao thông trục chính D6 Khu công nghiệp Khánh An (giai đoạn 1) </t>
  </si>
  <si>
    <t>Dự án đầu tư xây dựng hàng rào Khu công nghiệp Khánh An, huyện U Minh</t>
  </si>
  <si>
    <t>KHOA HỌC VÀ CÔNG NGHỆ, MÔI TRƯỜNG, THÔNG TIN VÀ TRUYỀN THÔNG</t>
  </si>
  <si>
    <t>Giám đốc Sở Khoa học và Công nghệ</t>
  </si>
  <si>
    <t>Chánh Văn phòng Tỉnh ủy Cà Mau</t>
  </si>
  <si>
    <t>Dự án đầu tư xây dựng mới, thay thế thiết bị cho các Đài Truyền thanh cấp xã</t>
  </si>
  <si>
    <t>Giám đốc Sở Thông tin và Truyền thông</t>
  </si>
  <si>
    <t>Công trình đường giao thông từ khu trung tâm Công viên văn hóa du lịch Mũi Cà Mau đấu nối vào lộ đường giao thông qua các hộ dân làm du lịch cộng đồng</t>
  </si>
  <si>
    <t>Giám đốc Ban QLDA xây dựng công trình Giao thông tỉnh Cà Mau</t>
  </si>
  <si>
    <t>Chủ tịch UBND huyện Trần Văn Thời</t>
  </si>
  <si>
    <t>Chủ tịch UBND huyện Ngọc Hiển</t>
  </si>
  <si>
    <t xml:space="preserve">Trụ sở làm việc Huyện ủy Ngọc Hiển </t>
  </si>
  <si>
    <t>Giám đốc Ban QLDA công trình Nông nghiệp và PTNT tỉnh Cà Mau</t>
  </si>
  <si>
    <t>Trụ sở làm việc Đội Quản lý thị trường huyện Đầm Dơi</t>
  </si>
  <si>
    <t>Trụ sở làm việc Đội Quản lý thị trường huyện Phú Tân</t>
  </si>
  <si>
    <t>Nâng cấp, mở rộng Trụ sở Huyện ủy Thới Bình</t>
  </si>
  <si>
    <t>Chủ tịch UBND huyện Thới Bình</t>
  </si>
  <si>
    <t xml:space="preserve">Công trình khởi công mới </t>
  </si>
  <si>
    <t>Trụ sở Ủy ban nhân dân tỉnh Cà Mau</t>
  </si>
  <si>
    <t>Trụ sở làm việc Ban Quản lý rừng phòng hộ Năm Căn, huyện Năm Căn</t>
  </si>
  <si>
    <t>Trụ sở làm việc Ban Quản lý dự án công trình Xây dựng tỉnh Cà Mau</t>
  </si>
  <si>
    <t>Trụ sở hành chính thị trấn Cái Đôi Vàm, huyện Phú Tân</t>
  </si>
  <si>
    <t>Trụ sở hành chính thị trấn U Minh, huyện U Minh</t>
  </si>
  <si>
    <t>Chủ tịch UBND huyện U Minh</t>
  </si>
  <si>
    <t>Ủy ban nhân dân huyện U Minh</t>
  </si>
  <si>
    <t>Cải tạo, mở rộng Trụ sở HĐND - UBND huyện Trần Văn Thời</t>
  </si>
  <si>
    <t>Kho lưu trữ tài liệu của các cơ quan hành chính huyện Đầm Dơi</t>
  </si>
  <si>
    <t>Kho lưu trữ Huyện ủy và phòng họp Ban Chấp hành Đảng bộ huyện Phú Tân</t>
  </si>
  <si>
    <t>Trụ sở làm việc Hội đồng nhân dân huyện Năm Căn</t>
  </si>
  <si>
    <t>Trụ sở Thanh tra Nhà nước tỉnh Cà Mau (thanh toán chi phí đầu tư kết cấu hạ tầng lô đất bố trí xây dựng trụ sở)</t>
  </si>
  <si>
    <t>Chánh Thanh tra tỉnh Cà Mau</t>
  </si>
  <si>
    <t>Các dự án của Bộ Chỉ huy Quân sự tỉnh Cà Mau</t>
  </si>
  <si>
    <t>Sở Chỉ huy thống nhất, tỉnh Cà Mau (052)</t>
  </si>
  <si>
    <t>Chỉ huy trưởng BCH Quân sự tỉnh Cà Mau</t>
  </si>
  <si>
    <t>Trụ sở Ban Chỉ huy Quân sự huyện Năm Căn (049)</t>
  </si>
  <si>
    <t>Giám đốc Công an tỉnh Cà Mau</t>
  </si>
  <si>
    <t>San lấp mặt bằng xây dựng Trung tâm huấn luyện và bồi dưỡng nghiệp vụ Công an tỉnh Cà Mau</t>
  </si>
  <si>
    <t>Mua sắm phương tiện phục vụ công tác của Công an tỉnh (01 xe chữa cháy và 02 ca nô chữa cháy)</t>
  </si>
  <si>
    <t xml:space="preserve">Bồi thường, hỗ trợ và tái định cư Dự án xây dựng và mở rộng Trại tạm giam thuộc Công an tỉnh Cà Mau </t>
  </si>
  <si>
    <t xml:space="preserve">Các công trình của Bộ Chỉ huy Bộ đội Biên phòng tỉnh Cà Mau </t>
  </si>
  <si>
    <t xml:space="preserve">Chỉ huy trưởng BCH Bộ đội Biên phòng </t>
  </si>
  <si>
    <t>VỐN CHUẨN BỊ ĐẦU TƯ</t>
  </si>
  <si>
    <t>Sở Kế hoạch và Đầu tư trình UBND tỉnh</t>
  </si>
  <si>
    <t>Dự án đầu tư xây dựng tuyến đường trục Đông - Tây tỉnh Cà Mau (đoạn từ Quốc lộ 1 đến cửa biển Gành Hào) và cầu qua sông Cái Nai (Khu kinh tế Năm Căn)</t>
  </si>
  <si>
    <t>Giám đốc Sở Giao thông vận tải</t>
  </si>
  <si>
    <t>Dự án đầu tư xây dựng cầu ngang sông Cái Đôi Vàm, huyện Phú Tân</t>
  </si>
  <si>
    <t>Dự án đầu tư xây dựng đường Phan Ngọc Hiển (nối dài), huyện Phú Tân</t>
  </si>
  <si>
    <t>Dự án nạo vét sông Cái Tàu, huyện U Minh</t>
  </si>
  <si>
    <t>Dự án đầu tư xây dựng cầu bắc ngang sông Cái Tàu, huyện U Minh</t>
  </si>
  <si>
    <t>Xây dựng mới Trạm Kiểm soát biên phòng Hương Mai/Đồn Biên phòng Khánh Tiến</t>
  </si>
  <si>
    <t>Chỉ huy trưởng Bộ Chỉ huy Bộ đội Biên phòng tỉnh Cà Mau</t>
  </si>
  <si>
    <t>Sửa chữa, xây dựng mới một số hạng mục công trình Trạm Kiểm soát biên phòng Rạch Tàu/Đồn Biên phòng Đất Mũi</t>
  </si>
  <si>
    <t>Trụ sở làm việc Ban Dân tộc tỉnh Cà Mau</t>
  </si>
  <si>
    <t>Trụ sở cơ quan Khối Đoàn thể huyện Cái Nước</t>
  </si>
  <si>
    <t>Trụ sở Đội Quản lý thị trường huyện Cái Nước</t>
  </si>
  <si>
    <t>Trụ sở Đội Quản lý thị trường huyện Thới Bình</t>
  </si>
  <si>
    <t>Trụ sở hành chính phường 1, thành phố Cà Mau</t>
  </si>
  <si>
    <t>Trụ sở hành chính phường 5, thành phố Cà Mau</t>
  </si>
  <si>
    <t>Bờ kè ven sông thành phố Cà Mau (phường 4, phường 5)</t>
  </si>
  <si>
    <t>Bờ kè từ cống Rạch Ráng đến trụ sở Công an huyện Trần Văn Thời</t>
  </si>
  <si>
    <t xml:space="preserve">Dự án đầu tư nâng cao năng lực phòng cháy, chữa cháy rừng tỉnh Cà Mau, giai đoạn 2016 - 2020 </t>
  </si>
  <si>
    <t>Chi cục trưởng Chi cục Kiểm lâm</t>
  </si>
  <si>
    <t>Dự án đầu tư xây dựng cơ sở hạ tầng Vườn Quốc gia Mũi Cà Mau</t>
  </si>
  <si>
    <t>Hệ thống thủy lợi Tiểu vùng XIV - Nam Cà Mau</t>
  </si>
  <si>
    <t>Hệ thống thủy lợi Tiểu vùng I - Bắc Cà Mau</t>
  </si>
  <si>
    <t>Bờ kè chống sạt lở bờ biển khu du lịch Khai Long, huyện Ngọc Hiển</t>
  </si>
  <si>
    <t>Dự án đầu tư xây dựng đê biển Đông tỉnh Cà Mau</t>
  </si>
  <si>
    <t>Dự án đầu tư xây dựng đê cửa sông Bảy Háp</t>
  </si>
  <si>
    <t>Nạo vét cửa biển Cái Đôi Vàm, huyện Phú Tân</t>
  </si>
  <si>
    <t>Giám đốc Ban Quản lý dự án công trình Nông nghiệp và PTNT</t>
  </si>
  <si>
    <t>Mã nguồn 49_Nguồn XSKT</t>
  </si>
  <si>
    <t>Hỗ trợ NS huyện</t>
  </si>
  <si>
    <t>Hỗ trợ ngân sách huyện Đầm Dơi</t>
  </si>
  <si>
    <t>Đối ứng Chương trình đảm bảo chất lượng giáo dục trên địa bàn tỉnh Cà Mau (SEQAP) các công trình trường học trên địa bàn thành phố Cà Mau</t>
  </si>
  <si>
    <t>Hỗ trợ ngân sách thành phố Cà Mau</t>
  </si>
  <si>
    <t>Trường Tiểu học Trí Phải, xã Trí Phải, huyện Thới Bình</t>
  </si>
  <si>
    <t>Hỗ trợ ngân sách huyện Thới Bình (Quyết định số 931/QĐ-UBND ngày 24/5/2017 của Chủ tịch UBND tỉnh)</t>
  </si>
  <si>
    <t>Nâng cấp, sửa chữa Trường Mầm non Ban Mai, xã Tân Lộc Đông, huyện Thới Bình</t>
  </si>
  <si>
    <t>Xây dựng 10 phòng học Trường Tiểu học Cái Đôi Vàm 2, thị trấn Cái Đôi Vàm, huyện Phú Tân</t>
  </si>
  <si>
    <t>Hỗ trợ ngân sách huyện Phú Tân (Công văn số 850/UBND-XD ngày 07/02/2017 của UBND tỉnh)</t>
  </si>
  <si>
    <t>Trường Mầm non Sơn Ca, xã Trần Hợi, huyện Trần Văn Thời</t>
  </si>
  <si>
    <t>Hỗ trợ ngân sách huyện Trần Văn Thời (Công văn số 4908/UBND-XD ngày 26/6/2017 của UBND tỉnh)</t>
  </si>
  <si>
    <t>Hỗ trợ ngân sách huyện Ngọc Hiển</t>
  </si>
  <si>
    <t>Trường Tiểu học 1 xã Hiệp Tùng, huyện Năm Căn</t>
  </si>
  <si>
    <t>Hỗ trợ ngân sách huyện Năm Căn</t>
  </si>
  <si>
    <t>Trường Tiểu học Tân Hùng, xã Ngọc Chánh, huyện Đầm Dơi</t>
  </si>
  <si>
    <t>Nâng cấp, sửa chữa Trường Tiểu học Tân Bình</t>
  </si>
  <si>
    <t>Hỗ trợ ngân sách huyện Thới Bình</t>
  </si>
  <si>
    <t>Trường Mẫu giáo Bông Sen, xã Rạch Chèo</t>
  </si>
  <si>
    <t>Hỗ trợ ngân sách huyện Phú Tân</t>
  </si>
  <si>
    <t>Trường Tiểu học Tân Hưng Tây C, xã Rạch Chèo</t>
  </si>
  <si>
    <t xml:space="preserve">Hỗ trợ ngân sách huyện Cái Nước </t>
  </si>
  <si>
    <t>Sửa chữa, cải tạo di tích Đền thờ Bác Hồ tại xã Viên An, huyện Ngọc Hiển</t>
  </si>
  <si>
    <t>Hỗ trợ ngân sách huyện Ngọc Hiển (Công văn số 749/UBND-XD ngày 25/01/2017 của UBND tỉnh)</t>
  </si>
  <si>
    <t>Hỗ trợ đầu tư các công trình xây dựng thiết chế văn hóa cơ sở gắn với xây dựng nông thôn mới trên địa bàn huyện U Minh</t>
  </si>
  <si>
    <t>Hỗ trợ ngân sách huyện U Minh</t>
  </si>
  <si>
    <t>Nhiều công trình</t>
  </si>
  <si>
    <t xml:space="preserve">Hỗ trợ đầu tư đường giao thông nông thôn trên địa bàn huyện Trần Văn Thời </t>
  </si>
  <si>
    <t>Hỗ trợ ngân sách huyện Trần Văn Thời (Công văn số 1277/UBND-XD ngày 21/02/2017 của UBND tỉnh)</t>
  </si>
  <si>
    <t xml:space="preserve">Hỗ trợ đầu tư đường giao thông nông thôn trên địa bàn huyện Phú Tân </t>
  </si>
  <si>
    <t>Hỗ trợ ngân sách huyện Phú Tân (Công văn số 1277/UBND-XD ngày 21/02/2017 của UBND tỉnh)</t>
  </si>
  <si>
    <t xml:space="preserve">Hỗ trợ đầu tư đường giao thông nông thôn trên địa bàn huyện Cái Nước </t>
  </si>
  <si>
    <t>Hỗ trợ ngân sách huyện Cái Nước (Công văn số 1277/UBND-XD ngày 21/02/2017 của UBND tỉnh)</t>
  </si>
  <si>
    <t xml:space="preserve">Hỗ trợ đầu tư đường giao thông nông thôn trên địa bàn xã Quách Phẩm Bắc, huyện Đầm Dơi </t>
  </si>
  <si>
    <t>Hỗ trợ ngân sách huyện Đầm Dơi (Công văn số 3914/UBND-XD ngày 19/5/2017 của UBND tỉnh)</t>
  </si>
  <si>
    <t>Hỗ trợ đầu tư đường giao thông nông thôn tại ấp 6, xã Khánh Bình Đông, huyện Trần Văn Thời</t>
  </si>
  <si>
    <t>Hỗ trợ ngân sách huyện Trần Văn Thời (Công văn số 4906/UBND-XD ngày 26/6/2017 của UBND tỉnh)</t>
  </si>
  <si>
    <t xml:space="preserve">Hỗ trợ đầu tư xây dựng tuyến đường từ Ủy ban nhân dân xã Tân Hưng đến Đê Đông huyện Cái Nước </t>
  </si>
  <si>
    <t>Hỗ trợ ngân sách huyện Cái Nước</t>
  </si>
  <si>
    <t xml:space="preserve">Hỗ trợ đầu tư xây dựng tuyến đường đê Tây sông Trẹm đoạn từ thị trấn Thới Bình đến xã Biển Bạch Đông, huyện Thới Bình </t>
  </si>
  <si>
    <t>Hỗ trợ ngân sách huyện Thới Bình (Công văn số 4758/UBND-XD ngày 19/6/2017 của UBND tỉnh)</t>
  </si>
  <si>
    <t>Dự án tỉnh quản lý</t>
  </si>
  <si>
    <t xml:space="preserve">LĨNH VỰC Y TẾ </t>
  </si>
  <si>
    <t>Nhà Kỹ thuật nghiệp vụ kết hợp Khoa cấp cứu Bệnh viện đa khoa Cà Mau</t>
  </si>
  <si>
    <t>Mua sắm hệ thống chụp mạch xóa nền DSA cho Bệnh viện đa khoa Cà Mau</t>
  </si>
  <si>
    <t>Giám đốc Bệnh viện đa khoa Cà Mau</t>
  </si>
  <si>
    <t>Bệnh viện đa khoa huyện Thới Bình</t>
  </si>
  <si>
    <t xml:space="preserve">Bệnh viện Sản - Nhi </t>
  </si>
  <si>
    <t xml:space="preserve">Đối ứng Dự án Hỗ trợ xử lý chất thải bệnh viện tỉnh Cà Mau (Vốn vay WB)  </t>
  </si>
  <si>
    <t>Giám đốc Sở Y tế</t>
  </si>
  <si>
    <t>Mua sắm máy chụp X - quang tại Ban Bảo vệ, chăm sóc sức khỏe cán bộ Tỉnh ủy Cà Mau</t>
  </si>
  <si>
    <t>Trưởng Ban Bảo vệ, chăm sóc sức khỏe cán bộ Tỉnh ủy Cà Mau</t>
  </si>
  <si>
    <t>Trường Cao đẳng Y tế tỉnh Cà Mau</t>
  </si>
  <si>
    <t>Trường THCS Tạ An Khương Nam, huyện Đầm Dơi</t>
  </si>
  <si>
    <t>Trụ sở Sở Giáo dục và Đào tạo</t>
  </si>
  <si>
    <t>Trường THPT Quách Văn Phẩm, huyện Đầm Dơi</t>
  </si>
  <si>
    <t>Công trình đầu tư xây dựng khối 8 phòng học và nhà vệ sinh thuộc Trường Trung cấp Kinh tế - Kỹ thuật tỉnh Cà Mau cơ sở 2</t>
  </si>
  <si>
    <t>Hiệu trưởng Trường Trung cấp Kinh tế - Kỹ thuật tỉnh Cà Mau</t>
  </si>
  <si>
    <t>Cải tạo, nâng cấp Trường THCS Tân Lộc, huyện Thới Bình</t>
  </si>
  <si>
    <t>Công trình xây dựng 10 phòng học Trường THPT Khánh Hưng, huyện Trần Văn Thời</t>
  </si>
  <si>
    <t>Giám đốc BQLDA công trình Xây dựng tỉnh Cà Mau</t>
  </si>
  <si>
    <t>Công trình xây dựng 10 phòng học và phòng chức năng Trường THPT Phú Hưng, huyện Cái Nước</t>
  </si>
  <si>
    <t xml:space="preserve">Trung tâm Văn hóa Thể thao huyện Phú Tân (giai đoạn 1) </t>
  </si>
  <si>
    <t xml:space="preserve">Trung tâm Văn hóa Thể thao huyện Ngọc Hiển </t>
  </si>
  <si>
    <t>Đài Tưởng niệm các Anh hùng liệt sỹ tỉnh Cà Mau</t>
  </si>
  <si>
    <t>Sửa chữa, nâng cấp Khu tượng đài khởi nghĩa Hòn Khoai</t>
  </si>
  <si>
    <t>Tu bổ, tôn tạo di tích lịch sử địa điểm chứng tích Mỹ Ngụy ở Biệt khu Hải Yến - Bình Hưng</t>
  </si>
  <si>
    <t>Khu di tích căn cứ Tỉnh ủy Xẻo Đước (giai đoạn 2)</t>
  </si>
  <si>
    <t>Giám đốc Sở Văn hóa, Thể thao và Du lịch</t>
  </si>
  <si>
    <t>Công trình trùng tu, phục dựng một số hạng mục di tích Khu căn cứ Tỉnh ủy tại Lung Lá - Nhà Thể</t>
  </si>
  <si>
    <t>Giám đốc Đài Phát thanh - Truyền hình tỉnh Cà Mau</t>
  </si>
  <si>
    <t>Đền thờ 10 Anh hùng liệt sỹ khởi nghĩa Hòn Khoai</t>
  </si>
  <si>
    <t xml:space="preserve">Tu bổ, tôn tạo di tích Sắc tứ Quan âm cổ tự </t>
  </si>
  <si>
    <t>Xây dựng một số hạng mục công trình tại Trường Nuôi dạy trẻ khuyết tật tỉnh Cà Mau</t>
  </si>
  <si>
    <t>Nâng cấp, xây dựng mới một số hạng mục công trình tại Đoàn Cải lương Hương Tràm tỉnh Cà Mau</t>
  </si>
  <si>
    <t>Trung tâm Văn hóa - Thể thao huyện Thới Bình (giai đoạn 2)</t>
  </si>
  <si>
    <t>Đầu tư xây dựng kết cấu hạ tầng xây dựng nông thôn mới</t>
  </si>
  <si>
    <t xml:space="preserve">Tuyến đường ôtô đến trung tâm xã Hiệp Tùng, huyện Năm Căn </t>
  </si>
  <si>
    <t xml:space="preserve">Tuyến đường ôtô đến trung tâm xã Tân Thuận, huyện Đầm Dơi </t>
  </si>
  <si>
    <t xml:space="preserve">Tuyến đường ôtô đến trung tâm xã Nguyễn Huân, huyện Đầm Dơi </t>
  </si>
  <si>
    <t xml:space="preserve">Tuyến đường ôtô đến trung tâm xã Đất Mũi, huyện Ngọc Hiển </t>
  </si>
  <si>
    <t>Tuyến đường ôtô đến trung tâm xã Khánh An, huyện U Minh (đoạn từ rạch Cây Khô đến Trường THCS Nguyễn Văn Tố)</t>
  </si>
  <si>
    <t xml:space="preserve">Xây dựng mới cầu Nhà Diệu; duy tu, sửa chữa cầu Dinh Hạn trên tuyến đường ô tô đến trung tâm xã Tân Ân, huyện Ngọc Hiển  </t>
  </si>
  <si>
    <t>7586950</t>
  </si>
  <si>
    <t xml:space="preserve">Tuyến đường ôtô đến trung tâm xã Hàng Vịnh, huyện Năm Căn (xây dựng mới 03 cầu Xi Tẹc, Trung Đoàn, Công An) </t>
  </si>
  <si>
    <t>7562293</t>
  </si>
  <si>
    <t>Sửa chữa mặt đường BTCT hiện hữu, mở rộng 1 m đoạn từ Km5+600 - Km9+810 và bãi đậu xe tại xã Trần Phán thuộc dự án đường  ô tô đến trung tâm xã Quách Phẩm, huyện Đầm Dơi</t>
  </si>
  <si>
    <t>Đối ứng các dự án ODA thuộc lĩnh vực nông nghiệp và PTNT</t>
  </si>
  <si>
    <t>Đối ứng Dự án quản lý thủy lợi phục vụ phát triển nông thôn vùng ĐBSCL (Hệ thống thủy lợi Tiểu vùng X - Nam Cà Mau)</t>
  </si>
  <si>
    <t>Giám đốc Sở Nông nghiệp &amp; PTNT</t>
  </si>
  <si>
    <t>Giám đốc Trung tâm Nước sạch và vệ sinh môi trường nông thôn tỉnh Cà Mau</t>
  </si>
  <si>
    <t xml:space="preserve">Đề án xây dựng trụ sở hành chính cấp xã  </t>
  </si>
  <si>
    <t>Trụ sở hành chính xã Hàm Rồng, huyện Năm Căn</t>
  </si>
  <si>
    <t>Cải tạo, mở rộng trụ sở hành chính xã Khánh An, huyện U Minh</t>
  </si>
  <si>
    <t>Cải tạo, nâng cấp trụ sở hành chính xã Tam Giang Tây, huyện Ngọc Hiển</t>
  </si>
  <si>
    <t>Trụ sở hành chính xã Định Bình, thành phố Cà Mau</t>
  </si>
  <si>
    <t>Nâng cấp, sửa chữa Trụ sở hành chính xã Quách Phẩm Bắc, huyện Đầm Dơi</t>
  </si>
  <si>
    <t>Nâng cấp, sửa chữa Trụ sở hành chính xã Tân Duyệt, huyện Đầm Dơi</t>
  </si>
  <si>
    <t>LĨNH VỰC ỨNG PHÓ VỚI BIẾN ĐỔI KHÍ HẬU VÀ NƯỚC BIỂN DÂNG</t>
  </si>
  <si>
    <t>Kế hoạch bảo vệ và phát triển rừng</t>
  </si>
  <si>
    <t>KH Bảo vệ và phát triển rừng_Ban QLRPH Năm Căn</t>
  </si>
  <si>
    <t>Kè chống sạt lở Mũi Cà Mau</t>
  </si>
  <si>
    <t xml:space="preserve">Khu neo đậu tránh trú bão cho tàu cá Rạch Gốc, tỉnh Cà Mau </t>
  </si>
  <si>
    <t xml:space="preserve">Bờ kè chống sạt lở khu dân cư thị trấn Năm Căn, huyện Năm Căn </t>
  </si>
  <si>
    <t>Giám đốc Ban Quản lý dự án công trình Nông nghiệp &amp; PTNT tỉnh Cà Mau</t>
  </si>
  <si>
    <t xml:space="preserve">Dự án đầu tư xây dựng Vườn Quốc gia U Minh hạ (các hạng mục công trình khắc phục hạn hán, xâm nhập mặn) </t>
  </si>
  <si>
    <t>Dự án đầu tư xây dựng khu tái định cư rừng phòng hộ biển Tây, huyện Phú Tân</t>
  </si>
  <si>
    <t>Dự án đầu tư xây dựng khu tái định cư rừng phòng hộ biển Tây, huyện Trần Văn Thời</t>
  </si>
  <si>
    <t>Đối ứng Dự án "Chống chịu khí hậu tổng hợp và sinh kế bền vững ĐBSCL", tỉnh Cà Mau</t>
  </si>
  <si>
    <t>G</t>
  </si>
  <si>
    <t>Trường THPT Tân Bằng (giai đoạn 2)</t>
  </si>
  <si>
    <t>Dự án Bảo tồn, tôn tạo di tích lịch sử Xứ ủy Nam bộ - Trung ương cục miền Nam</t>
  </si>
  <si>
    <t>Khu Thực nghiệm thủy sản thuộc Trường Cao đẳng Cộng đồng Cà Mau</t>
  </si>
  <si>
    <t>Trưởng Ban Dân tộc tỉnh Cà Mau</t>
  </si>
  <si>
    <t>Tuyến đường vào trung tâm hành chính xã Khánh Tiến, huyện U Minh</t>
  </si>
  <si>
    <t>Trụ sở hành chính xã Đông Thới, huyện Cái Nước</t>
  </si>
  <si>
    <t>Trụ sở hành chính xã Phú Thuận, huyện Phú Tân</t>
  </si>
  <si>
    <t>Dự án…</t>
  </si>
  <si>
    <t>Mã nguồn 43_Vốn CTMT:</t>
  </si>
  <si>
    <t>1. QĐ số 118/QĐ-UBND ngày 20/01/2017</t>
  </si>
  <si>
    <t>Chương trình mục tiêu phát triển kinh tế-xã hội các vùng</t>
  </si>
  <si>
    <t>DA đầu tư xây dựng kè cấp bách tại Tân Thuận Đầm Dơi</t>
  </si>
  <si>
    <t>Chương trình mục tiêu hỗ trợ đối ứng ODA cho các địa phương</t>
  </si>
  <si>
    <t>Chương trình mục tiêu phát triển kinh tế thủy sản bền vũng</t>
  </si>
  <si>
    <t>Dự án đầu tư xây dựng bến cá kết hợp với khu neo đậu trú bão cho tàu cá tại cửa</t>
  </si>
  <si>
    <t>XD hệ thống thủy lợi tiểu vùng VII-Nam Cà Mau</t>
  </si>
  <si>
    <t>Chương trình mục tiêu phát triển lâm nghiệp bề vững</t>
  </si>
  <si>
    <t>Bảo vệ và phát triển Vườn Quốc gia Mui Cà Mau</t>
  </si>
  <si>
    <t>Dự án ĐTXD Khu trụ sở HC Vườn Quốc gia U Minh Hạ</t>
  </si>
  <si>
    <t>Vườn QG U Minh Hạ</t>
  </si>
  <si>
    <t>Chương trình mục tiêu tái cơ cấu kinh tế nông nghiệp và chống giảm nhẹ tiên tai, ổn định đời sống dân cư</t>
  </si>
  <si>
    <t>Dự án đầu tư khu tái định cư rừng phòng hộ biển Tây, huyện Phú Tân</t>
  </si>
  <si>
    <t>DA ĐT XD cơ sở hạ tầng SX giống-Trại giống Khánh Lâm 2</t>
  </si>
  <si>
    <t>Chương trình mục tiêu đầu tư hạ tầng khu kinh tế ven biển</t>
  </si>
  <si>
    <t>ĐTXD đường trục chính Khu kinh tế Năm Căn</t>
  </si>
  <si>
    <t>Tuyến đường trục chính Bắc-Nam Khu kinh tế Năm Căn</t>
  </si>
  <si>
    <t>Hạ tầng điểm du lịch Đất Mũi-Khu du lịch QG Năm Căn</t>
  </si>
  <si>
    <t>DA đường vào khu du lịch Sông Trẹm</t>
  </si>
  <si>
    <t>2. QĐ số 878/QĐ-UBND ngày 18/5/2017 (đợt 2)</t>
  </si>
  <si>
    <t>Chương trình mục tiêu phát triển kihnh tế-xã hội các vùng</t>
  </si>
  <si>
    <t>DAXD tuyến đường phía bờ nam sông Ông Đốc nối vào Quốc lộ 1A (Rau Dừa - Rạch Ráng)</t>
  </si>
  <si>
    <t>3. QĐ số 26/UBND ngày 16/02/2017; CV số 19/BTC-VI ngày 28/02/2017</t>
  </si>
  <si>
    <t>Chương trình Biển Đông-Hải đảo</t>
  </si>
  <si>
    <t>4. QĐ số 1022/QĐ-UBND ngày 13/6/2017</t>
  </si>
  <si>
    <t>Chương trình mục tiêu phát triển hệ thống y tế địa phơng</t>
  </si>
  <si>
    <t>Chương trình…</t>
  </si>
  <si>
    <t>Mã nguồn 43_Vốn ODA giải ngân theo cơ chế tài chính trong nước:</t>
  </si>
  <si>
    <t>Chương trinh mục tiêu ứng phó biến đổi khí hậu</t>
  </si>
  <si>
    <t>QĐ số 1540/QĐ-UBND ngày 08/9/2017; CV số 12929/BTC-NSNN ngày 27/9/2017</t>
  </si>
  <si>
    <t>QĐ số 2090/QĐ-UBND ngày 11/12/2017; CV số 10036/BKHĐT ngày 06/12/2017</t>
  </si>
  <si>
    <t>KHV giao đầu năm theo QĐ số 118/QĐ-UBND và giao bổ sung theo QĐ số 878/QĐ-UBND</t>
  </si>
  <si>
    <t>Ngành Xây dựng và Phát triển đô thị</t>
  </si>
  <si>
    <t>Dự án nâng cấp đô thị thành phố Cà Mau thuộc Dự án nâng cấp đô thị vùng ĐBSCL</t>
  </si>
  <si>
    <t>Ngành Cấp thoát nước</t>
  </si>
  <si>
    <t>Dự án cải tạo và xây dựng hệ thống thoát nước và xử lý nước thải thành phố Cà Mau</t>
  </si>
  <si>
    <t>Ngành Y tế</t>
  </si>
  <si>
    <t>Dự án hỗ trợ xử lý chất thải các bệnh viện tỉnh Cà Mau</t>
  </si>
  <si>
    <t>Giám đốc Sở Y tế tỉnh Cà Mau</t>
  </si>
  <si>
    <t>Ngành Giáo dục</t>
  </si>
  <si>
    <t>Dự án đầu tư xây dựng Trường Cao đẳng nghề Việt Nam - Hàn Quốc tỉnh Cà Mau</t>
  </si>
  <si>
    <t>Giám đốc Sở Lao động, Thương binh và Xã hội</t>
  </si>
  <si>
    <t>QĐ số 1973/QĐ-BKHĐT và QĐ 142/QĐ-UBND: để GTGC các dự án đã giải ngân từ năm 2016 về trước</t>
  </si>
  <si>
    <t>7007300</t>
  </si>
  <si>
    <t>Hệ thống cấp nước cho thị trấn Rạch Gốc</t>
  </si>
  <si>
    <t>7391319</t>
  </si>
  <si>
    <t>Dự án cải tạo và xử lý hệ thống thoát nước và xử lý nước thải thành phố Cà Mau</t>
  </si>
  <si>
    <t>BQL dự án công trình Giao thông</t>
  </si>
  <si>
    <t>Đường ô tô TT xã Khánh Bình Tây Bắc - TVT</t>
  </si>
  <si>
    <t>Đường ô tô TT xã Đất Mũi-NH (Ông Trang-Khai Long)</t>
  </si>
  <si>
    <t>02 ô TLPV nuôi thủy sản: Hệ thống TL tiểu vùng 17 Nam Cà Mau</t>
  </si>
  <si>
    <t>02Ô T/lợi pvụ Tsản: Hệ thống Tl/lợi T.vùng 5 Nam C</t>
  </si>
  <si>
    <t>Bệnh viện đa khoa khu vực Trần Văn Thời</t>
  </si>
  <si>
    <t>Bệnh viện đa khoa khu vực Năm Căn</t>
  </si>
  <si>
    <t>Bệnh viện đa khoa huyện Ngọc Hiển</t>
  </si>
  <si>
    <t>TPCP Chương trình MTQG xây dựng nông thôn mới</t>
  </si>
  <si>
    <t>Đề án Nông thôn mới xã Ngọc Chánh, Đầm Dơi</t>
  </si>
  <si>
    <t>7472290</t>
  </si>
  <si>
    <t>Đề án Nông thôn mới xã Quách Phẩm Bắc, Đầm Dơi</t>
  </si>
  <si>
    <t>7472275</t>
  </si>
  <si>
    <t>Đề án Nông thôn mới xã Tân Duyệt, Đầm Dơi</t>
  </si>
  <si>
    <t>7472287</t>
  </si>
  <si>
    <t>Đề án Nông thôn mới xã Thanh Tùng, Đầm Dơi</t>
  </si>
  <si>
    <t>7472285</t>
  </si>
  <si>
    <t>Đề án Nông thôn mới xã Trần Phán, Đầm Dơi</t>
  </si>
  <si>
    <t>7472283</t>
  </si>
  <si>
    <t>Đề án Nông thôn mới xã Khánh Bình Tây Bắc, TVT</t>
  </si>
  <si>
    <t>7486032</t>
  </si>
  <si>
    <t>Đề án Nông thôn mới xã Khánh Hưng, TVT</t>
  </si>
  <si>
    <t>7485332</t>
  </si>
  <si>
    <t>Đề án Nông thôn mới xã Khánh Hòa, U Minh</t>
  </si>
  <si>
    <t>7474843</t>
  </si>
  <si>
    <t>Đề án Nông thôn mới xã Tam Giang Đông, Năm Căn</t>
  </si>
  <si>
    <t>7475544</t>
  </si>
  <si>
    <t>Đề án Nông thôn mới xã Đất Mũi, Ngọc Hiển</t>
  </si>
  <si>
    <t>7475490</t>
  </si>
  <si>
    <t>Đề án Nông thôn mới xã Viên An, Ngọc Hiển</t>
  </si>
  <si>
    <t>7476752</t>
  </si>
  <si>
    <t>Đề án Nông thôn mới xã Tân Ân, Ngọc Hiển</t>
  </si>
  <si>
    <t>7475489</t>
  </si>
  <si>
    <t>Đề án Nông thôn mới xã Định Bình, Tp Cà Mau</t>
  </si>
  <si>
    <t>7579238</t>
  </si>
  <si>
    <t>Đề án Nông thôn mới xã Tân Lộc, Thới Bình</t>
  </si>
  <si>
    <t>7586918</t>
  </si>
  <si>
    <t>Mã nguồn 43_Vốn bổ sung từ nguồn dự phòng, tăng thu NSNN… (nếu có):</t>
  </si>
  <si>
    <t>QĐ số 1656/QĐ/UBND ngày 05/10/2017; CV số 12363/BTC-ĐT ngày 18/9/2017</t>
  </si>
  <si>
    <t>Nguồn dự phòng NSTW 2016</t>
  </si>
  <si>
    <t>Hạ tầng điểm du lịch Đất Mũi Khu du lịch QG Năm Căn</t>
  </si>
  <si>
    <t>QĐ số 425/QĐ/UBND ngày 09/3/2017; CV số 3318/BTC-ĐT ngày 14/3/2017</t>
  </si>
  <si>
    <t>*Nguồn vốn huy động (vay KB): QĐ số 611/QĐ-UBND ngày 03/4/2017</t>
  </si>
  <si>
    <t>Các dự án không ghi kế hoạch năm 2017 còn dư vốn tạm ứng chưa thu hồi từ các năm trước chuyển sang năm 2017</t>
  </si>
  <si>
    <t>Mã nguồn 42_Nguồn Tập trung, thu tiền sử dụng đất tỉnh quản lý</t>
  </si>
  <si>
    <t>Dự án đầu tư xây dựng hạ tầng kỹ thuật Quảng trường Văn hóa trung tâm tỉnh Cà Mau</t>
  </si>
  <si>
    <t>HT các CT Công an tỉnh</t>
  </si>
  <si>
    <t>XD đường vào khu lung lá nhà thể</t>
  </si>
  <si>
    <t>Đường ô tô đến trung tâm xã Tân Hưng Tây huyện Phú Tân</t>
  </si>
  <si>
    <t>DA xây dựng bãi rác TP Cà Mau</t>
  </si>
  <si>
    <t>DAĐT, bồi dưỡng GV tăng cường CSVC các trường - Trường CĐSPCM</t>
  </si>
  <si>
    <t>XD trường PTTH xã Phú Hưng -C.Nước ( GĐ 2)</t>
  </si>
  <si>
    <t>Tuyến đường tránh trung tâm thị trấn Thới Bình, huyện Thới Bình</t>
  </si>
  <si>
    <t>XD 10 phòng học TT -KT hướng nghiệp tổng hợp</t>
  </si>
  <si>
    <t>Tuyến đường nội ô TT TVT (Doan tu cho R.Ráng đến Bãi rác)</t>
  </si>
  <si>
    <t>XD 10 phòng học  trường PTTH bán công -TVT</t>
  </si>
  <si>
    <t>Nhà Thiếu nhi Cà Mau</t>
  </si>
  <si>
    <t>Tuyến giao thông bộ Khu du lịch quốc gia sinh thái rừng ngập mặn Cà Mau (Tuyến đường Khai Long - Đất Mũi)</t>
  </si>
  <si>
    <t>QH sắp xếp DC rừng tràm( Đề án TC lại XS &amp; bố trí lại dân cư)</t>
  </si>
  <si>
    <t>Hệ thống thoat nước TT Sông Đốc</t>
  </si>
  <si>
    <t>Trung tâm dạy nghề huyện Trần văn Thời</t>
  </si>
  <si>
    <t>Đối ứng DA trẻ em tiểu học có hoàn cảnh khó khãn</t>
  </si>
  <si>
    <t>XD hệ thống giao thông khu hành chính huyện Phú Tân</t>
  </si>
  <si>
    <t>HT thủy lợi tiểu vùng X-Nam Cà Mau</t>
  </si>
  <si>
    <t>PABS bồi thường GPMB Trung tâm hành chính huyện Ngọc Hiền</t>
  </si>
  <si>
    <t xml:space="preserve">Đối ứng Dự án nâng cấp đô thị thành phố Cà Mau (NUUP) </t>
  </si>
  <si>
    <t>QH phát triển văn hóa thể thao tỉnh CM đến 2020</t>
  </si>
  <si>
    <t>Quy hoạch phát triển nông nghiệp tỉnh CM dến 2020</t>
  </si>
  <si>
    <t>Bồi thường hỗ trợ GPMB xây dựng Trung tâm hành chính huyện Ngọc Hiền</t>
  </si>
  <si>
    <t>XD nhà thi đấu thể thao đa nãng  tỉnh CM</t>
  </si>
  <si>
    <t>Kết cấu hạ tần các khu công nghiệp</t>
  </si>
  <si>
    <t>DA khả thi bãi rác huyện U Minh</t>
  </si>
  <si>
    <t>DA khả thi bãi rác thị trấn Cái Đôi Vàm, huyện Phú Tân</t>
  </si>
  <si>
    <t>DA khả thi bãi rác huyện Cái Nước</t>
  </si>
  <si>
    <t>XD hệ thống cấp nước S.hoạt khu tái Đ.Cư K.An</t>
  </si>
  <si>
    <t>DA khả thi bãi rác thị trấn Thới Bình, huyện Thới Bình</t>
  </si>
  <si>
    <t>QH T.Thể &amp; C.tiết trường chính trị tỉnh C Mau</t>
  </si>
  <si>
    <t>QH &amp; DA trung tâm VHTT xã của huyện ĐD</t>
  </si>
  <si>
    <t>DA khả thi bãi rác thị trấn Năm Căn, huyện Năm Căn</t>
  </si>
  <si>
    <t>Bồi hoàn GPMB &amp; xây dựng cống Hội Đồng Thành</t>
  </si>
  <si>
    <t>DA trạm bơm vùng cánh đồng Năn -TVT</t>
  </si>
  <si>
    <t>XD cống Rạch Lùm</t>
  </si>
  <si>
    <t>QH sản xuất NN &amp; PTR-làng nghề NT đến 2010 &amp; tầm nhìn 2020</t>
  </si>
  <si>
    <t>Dự án kè chống sạt lở cửa biển Khai Long, Ngọc Hiển</t>
  </si>
  <si>
    <t>Tuyến đường nội ô thị trấn Trần Văn Thời (đoạn từ cầu sắt cũ đến BCHQS huyện và đấu nối tuyến TT-RR-SĐ)</t>
  </si>
  <si>
    <t>Kho lưu trữ chuyên dụng Cà Mau</t>
  </si>
  <si>
    <t xml:space="preserve">Đối ứng Dự án nguồn lợi ven biển vì sự phát triển bền vững Cà Mau (CRSD Cà Mau) </t>
  </si>
  <si>
    <t>Khu thực nghiệm ứng dụng khoa học, công nghệ cho hệ sinh thái nước ngọt và nước lợ</t>
  </si>
  <si>
    <t>Tuyến đường bờ Bắc sông Cái Đôi Vàm</t>
  </si>
  <si>
    <t>7305069</t>
  </si>
  <si>
    <t xml:space="preserve">Đối ứng DA mở rộng &amp; nâng cấp HTCN TPCM (phần đối ứng) </t>
  </si>
  <si>
    <t xml:space="preserve">Tuyến đường ôtô đến trung tâm xã Tạ An Khương Nam - Tạ An Khương Đông, huyện Đầm Dơi </t>
  </si>
  <si>
    <t>Trường trung cấp VHTT và DL</t>
  </si>
  <si>
    <t>Đài tưởng niệm liệt sỹ tại Nghĩa trang liệt sỹ tỉnh Cà Mau</t>
  </si>
  <si>
    <t>Chi phí thi tuyển công trình Bia, Tượng đài khu di tích chiến thắng Chà Là xã Trần Phán-DD</t>
  </si>
  <si>
    <t>BVĐK huyện Ngọc Hiển</t>
  </si>
  <si>
    <t>Công trình phát triển lưới điện tại các cụm dân cư bức xúc xã Tân Ân, huyện Ngọc Hiển và xã Phong Điền, xã Khánh Bình Đông, huyện Trần Văn Thời</t>
  </si>
  <si>
    <t>Công trình phát triển lưới điện giảm hộ chia hơi các huyện Cái Nước, Phú Tân và Trần Văn Thời</t>
  </si>
  <si>
    <t>SLMB mở rộng đường Ngô Quyền</t>
  </si>
  <si>
    <t>Xây dựng 05 cây cầu trên tuyến đường ôtô đến trung tâm xã Quách Phẩm, huyện Đầm Dơi</t>
  </si>
  <si>
    <t>Công trình sửa chữa, nâng cấp một số hạng mục công trình di tích Khu căn cứ Tỉnh ủy, ấp Xẻo Đước, xã Phú Mỹ, huyện Phú Tân</t>
  </si>
  <si>
    <t>Khu Kỹ thuật - Nghiệp vụ kết hợp Khoa cấp cứu Bệnh viện đa khoa Cà Mau</t>
  </si>
  <si>
    <t>Đối ứng Dự án hỗ trợ xử lý chất thải bệnh viện tỉnh Cà Mau (Đầm Dơi)</t>
  </si>
  <si>
    <t>Đối ứng Dự án hỗ trợ xử lý chất thải bệnh viện tỉnh Cà Mau (Cái Nước)</t>
  </si>
  <si>
    <t>Đối ứng Dự án hỗ trợ xử lý chất thải bệnh viện tỉnh Cà Mau (Năm Căn)</t>
  </si>
  <si>
    <t>Đối ứng Dự án hỗ trợ xử lý chất thải bệnh viện tỉnh Cà Mau (TVT)</t>
  </si>
  <si>
    <t>Đối ứng Dự án hỗ trợ xử lý chất thải bệnh viện tỉnh Cà Mau (Cà Mau)</t>
  </si>
  <si>
    <t>Đối ứng Dự án hỗ trợ xử lý chất thải bệnh viện tỉnh Cà Mau (sản nhi)</t>
  </si>
  <si>
    <t>Nhà Thi đấu đa năng 4.000 chỗ</t>
  </si>
  <si>
    <t>Mã nguồn 42_Nguồn vượt thu</t>
  </si>
  <si>
    <t>XD TT phát sóng truyền hình mới</t>
  </si>
  <si>
    <t>Mã nguồn 42_Nguồn huy động (vay Kho bạc)</t>
  </si>
  <si>
    <t>Trụ sở làm việc tạm UBND huyện Năm Căn</t>
  </si>
  <si>
    <t xml:space="preserve">Dự án đầu tư mở rộng đường Cà Mau - Đầm Dơi (đoạn từ đường Hải Thượng Lãn Ông đến cầu Hòa Trung) </t>
  </si>
  <si>
    <t>Công trình nâng cấp, xây dựng mới đường dây trung thế 3 pha và trạm phục vụ cẩu trục thuộc Công ty TNHH Lâm nghiệp U Minh hạ</t>
  </si>
  <si>
    <t xml:space="preserve">Tuyến đường Châu Văn Đặng, thị trấn Năm Căn, huyện Năm Căn </t>
  </si>
  <si>
    <t xml:space="preserve">Cầu Văn hóa, thị trấn Cái Nước, huyện Cái Nước </t>
  </si>
  <si>
    <t>Mã nguồn 43_Nguồn vốn sự nghiệp (2.05)</t>
  </si>
  <si>
    <t>Mã nguồn 43_Nguồn Sự nghiệp có tính chất đầu tư</t>
  </si>
  <si>
    <t>Dự án sắp xếp dân cư xen ghép xã Nguyễn Huân, huyện Đầm Dơi</t>
  </si>
  <si>
    <t>Phát triển lưới điện phục vụ nhu cầu cấp thiết tại huyện Đầm Dơi và Cái Nước</t>
  </si>
  <si>
    <t>Mã nguồn 42_Nguồn vốn viện trợ ngân sách tỉnh trong nước</t>
  </si>
  <si>
    <t>Nâng cấp, trùng tu, tôn tạo Khu tưởng niệm Bác Hồ (giai đoạn 2)</t>
  </si>
  <si>
    <t>Mã nguồn 49_Vay tín dụng ưu đãi</t>
  </si>
  <si>
    <t>Tuyến đường ô tô đến trung tâm xã Khánh An (đoạn từ rạch Cây Khô đến trụ sở xã Nguyễn Phích, huyện U Minh)</t>
  </si>
  <si>
    <t xml:space="preserve">Tuyến đường ô tô đến trung tâm xã Tân Thuận, huyện Đầm Dơi </t>
  </si>
  <si>
    <t>Dự án đầu tư xây dựng hệ thống thủy lợi Tiểu vùng II - Bắc Cà Mau (hạng mục đầu tư cống kênh xáng Mới và cống kênh 25)</t>
  </si>
  <si>
    <t>Ô thủy lợi phục vụ sản xuất chuyên Lúa - Cá - Màu xã An Xuyên, TP.Cà Mau</t>
  </si>
  <si>
    <t>Cầu Rạch Sao 2, huyện Đầm Dơi</t>
  </si>
  <si>
    <t>Dự án đầu tư mở rộng đường Cà Mau - Đầm Dơi đoạn từ đường Hải Thượng Lãn Ông đến cầu Hòa Trung để đồng bộ với cầu Hòa Trung hoàn thành cuối năm 2015 (Chỉ thực hiện khi đủ điều kiện theo Luật Đầu tư công)</t>
  </si>
  <si>
    <t>Chuẩn bị đầu tư lập các dự án sắp xếp dân cư nông thôn</t>
  </si>
  <si>
    <t>Chi phí điều hành dự án 0,6%</t>
  </si>
  <si>
    <t>Chỉ tiêu kế hoạch bảo vệ và phát triển rừng tỉnh Cà Mau - năm 2011</t>
  </si>
  <si>
    <t>Nguồn TW hỗ trợ có mục tiêu</t>
  </si>
  <si>
    <t>Dự án đầu tư xây dưng hệ thống thủy lợi Tiểu vùng VII-Nam Cà Mau</t>
  </si>
  <si>
    <t>Hệ thống cấp nước thị trấn Sông Đốc, huyện Trần Văn Thời</t>
  </si>
  <si>
    <t>Dự án xâu dựng Bến cập tàu Bãi Nhỏ và đường tuần tra trên đảo Hòn Khoai</t>
  </si>
  <si>
    <t>Dự án đầu tư xây dựng Khu neo đậu tránh trú bão cho tàu cá Khánh Hội, huyện U Minh</t>
  </si>
  <si>
    <t>DAĐTXD bến cá kết hợp khu neo đậu trú bão Cái Đôi Vàm-Phú Tân</t>
  </si>
  <si>
    <t>DAĐT xây dựng CSHT vùng nuôi thủy sản xã Hoà Tân, thành phố Cà Mau</t>
  </si>
  <si>
    <t>DAĐT vùng nuôi tôm công nghiệp tập trung xã hàm Rồng, huyện Năm Căn</t>
  </si>
  <si>
    <t>Hệ thống thủy lợi tiếu vùng X-Nam Cà Mau thuộc dự án thủy lợi phục vụ phát triển nông thôn ĐBSCL</t>
  </si>
  <si>
    <t>Dự án đầu tư xây dựng và nâng cấp đê biển Tây Cà Mau</t>
  </si>
  <si>
    <t>Dự án kè chống sạt lở Biển Tây</t>
  </si>
  <si>
    <t>Xây dựng Trung tâm phát sóng truyền hình mới</t>
  </si>
  <si>
    <t>Dự án đầu tư khu định canh, định cư cho đồng bào dân tộc thiểu số du canh, du cư Vàm kênh Lung Ranh huyện U Minh</t>
  </si>
  <si>
    <t>Dự án đầu tư Khu tái định cư dự án cầu Đầm Cùng</t>
  </si>
  <si>
    <t>Cải tạo, mua sắm dụng cụ Trại thực nghiệm phường 6</t>
  </si>
  <si>
    <t>Trụ sở UBND xã Tân Trung, huyện Đầm Dơi</t>
  </si>
  <si>
    <t>Chi phí điều hành các dự án</t>
  </si>
  <si>
    <t>DA nuôi vỗ tôm sú bố mẹ</t>
  </si>
  <si>
    <t>Dự án đầu tư xây dựng đường giao thông từ đường Hành lang ven biển phía Nam đến điểm du lịch sinh thái Sông Trẹm</t>
  </si>
  <si>
    <t>Dự án bảo vệ, khôi phục và phát triển rừng ngập mặn Cà Mau gđ 2015-2020</t>
  </si>
  <si>
    <t>Dự án đầu tư xây dựng Khu trụ sở hành chính Vườn Quốc gia U Minh hạ</t>
  </si>
  <si>
    <t>Dự án đầu tư xây dựng cơ sở hạ tầng SX giống-Trại giống Khánh Lâm 2, huyện U Minh</t>
  </si>
  <si>
    <t>I. Các dự án giao thông</t>
  </si>
  <si>
    <t>Đường ô tô đến trung tâm xã Tam Giang Tây (từ trung tâm huyện đến Tam Giang Tây)</t>
  </si>
  <si>
    <t>7002179</t>
  </si>
  <si>
    <t>Đường ô tô đến TT xã Rạch Gốc (Tân Ân cũ)</t>
  </si>
  <si>
    <t>7003168</t>
  </si>
  <si>
    <t>Đường ô tô đến trung tâm xã Tân Ân Tây (từ trung tâm huyện đến Vàm Ông Định), hu</t>
  </si>
  <si>
    <t>7003241</t>
  </si>
  <si>
    <t>7007359</t>
  </si>
  <si>
    <t>7008393</t>
  </si>
  <si>
    <t>7008416</t>
  </si>
  <si>
    <t>Xã Đất Mới huyện Năm Căn</t>
  </si>
  <si>
    <t>7008853</t>
  </si>
  <si>
    <t>Đường ô tô đến trung tâm xã Lâm Hải, huyện Năm Căn</t>
  </si>
  <si>
    <t>Đường ô tô đến trung tâm xã Hiệp Tùng, huyện Năm Căn</t>
  </si>
  <si>
    <t>Đường ô tô đến trung tâm xã Tam Giang Đông, huyện Năm Căn</t>
  </si>
  <si>
    <t>7008882</t>
  </si>
  <si>
    <t>7011317</t>
  </si>
  <si>
    <t>7011496</t>
  </si>
  <si>
    <t>Đường từ Lầu Quốc gia - xã Quách Phẩm Bắc</t>
  </si>
  <si>
    <t>Đường đến trung tâm xã Tân Thuận Đầm Dơi</t>
  </si>
  <si>
    <t>Đường ô tô đến trung tâm xã Tân Dân, huyện Đầm Dơi</t>
  </si>
  <si>
    <t>7021616</t>
  </si>
  <si>
    <t>Đường ô tô đến trung tâm xã Quách Phẩm, huyện Đầm Dơi</t>
  </si>
  <si>
    <t>7065674</t>
  </si>
  <si>
    <t>Đường ô tô đến Trung tâm xã Tam Giang-Năm Căn</t>
  </si>
  <si>
    <t>Đường ô tô đến trung tâm xã Ngọc Chánh Đầm Dơi</t>
  </si>
  <si>
    <t>7148997</t>
  </si>
  <si>
    <t>Đường ô tô đến trung tâm xã Tân Tiến, huyện Đầm Dơi</t>
  </si>
  <si>
    <t>7157075</t>
  </si>
  <si>
    <t>II. Các dự án thủy lợi</t>
  </si>
  <si>
    <t>7002715</t>
  </si>
  <si>
    <t>Dự án thuỷ lợi tiểu vùng 2 Nam Cà mau</t>
  </si>
  <si>
    <t>7002748</t>
  </si>
  <si>
    <t>7002783</t>
  </si>
  <si>
    <t>02 ô thủy lợi phục vụ nuôi thủy sản: Hệ thống thủy lợi tiểu vùng 17 Nam Cà Mau</t>
  </si>
  <si>
    <t>7002790</t>
  </si>
  <si>
    <t>Hệ thống thủy lợi tiểu vùng X - Nam Cà Mau thuộc Dự án quản lý thủy lợi phục vụ phát triển nông thôn ĐBSCL</t>
  </si>
  <si>
    <t>III. Các dự án Y tế</t>
  </si>
  <si>
    <t>Bệnh viện đa khoa khu vực Ngọc Hiển</t>
  </si>
  <si>
    <t>7002173</t>
  </si>
  <si>
    <t>7025175</t>
  </si>
  <si>
    <t>7068810</t>
  </si>
  <si>
    <t>7098463</t>
  </si>
  <si>
    <t>7182289</t>
  </si>
  <si>
    <t>IV. Ngành Xây dựng và phát triển đô thị</t>
  </si>
  <si>
    <t>Dự án nâng cấp đô thị vùng ĐBSCL - Tiểu dự án thành phố Cà Mau (*)</t>
  </si>
  <si>
    <t>V. Xây dựng nông thôn mới</t>
  </si>
  <si>
    <t>Phòng Giao dịch</t>
  </si>
  <si>
    <t>Đề án xây dựng nông thôn mới xã Hòa Thành</t>
  </si>
  <si>
    <t>Đề án xây dựng nông thôn mới xã Tân Ân</t>
  </si>
  <si>
    <t>Đề án xây dựng nông thôn mới xã Viên An Đông</t>
  </si>
  <si>
    <t>Đề án xây dựng nông thôn mới xã Tam Giang Tây</t>
  </si>
  <si>
    <t>TỈNH…</t>
  </si>
  <si>
    <t>Ghi chú.</t>
  </si>
  <si>
    <t>- Dự án không có vốn ngoài nước chỉ ghi một dòng.</t>
  </si>
  <si>
    <t>- Đối với dự án chi bằng ngoại tệ thì bổ sung thêm trong quyết toán một dòng (dưới dòng vốn trong nước) trong đó chi bằng ngoại tệ là bao nhiêu và thống nhất chi ngoại tệ bằng đô la Mỹ.</t>
  </si>
  <si>
    <t>Cà Mau, ngày 24 tháng 4 năm 2017</t>
  </si>
  <si>
    <t>NGƯỜI LẬP BIỂU</t>
  </si>
  <si>
    <t>GIÁM ĐỐC KHO BẠC NHÀ NƯỚC</t>
  </si>
  <si>
    <t>(Ký, ghi rõ họ tên, chức vụ)</t>
  </si>
  <si>
    <t>(Ký, ghi rõ họ tên, chức vụ và đóng dấu)</t>
  </si>
  <si>
    <t>Mã nguồn 43_(Tài chính nhập mã nguồn 43): Dự án cầu Cơi Năm và cầu Kênh Đứng, huyện Trần Văn Thời</t>
  </si>
  <si>
    <t>vàng bc BTC</t>
  </si>
  <si>
    <t>Ghi chú: Kết dư cấp tỉnh là số kết dư của nguồn thu vượt sử dụng đất và xổ số</t>
  </si>
  <si>
    <t>Dự toán
năm 2017</t>
  </si>
  <si>
    <t>3=2-1</t>
  </si>
  <si>
    <t>4=2/1</t>
  </si>
  <si>
    <t>TỔNG NGUỒN THU NSĐP</t>
  </si>
  <si>
    <t>TỔNG CHI NSĐP</t>
  </si>
  <si>
    <t>- Thu thuế, lệ phí, phí và các khoản thu khác</t>
  </si>
  <si>
    <t>- Thu viện trợ</t>
  </si>
  <si>
    <t>Kết dư ngân sách tỉnh</t>
  </si>
  <si>
    <t>Chi thuộc nhiệm vụ của NS theo phân cấp</t>
  </si>
  <si>
    <t>- Chi bổ sung cân đối</t>
  </si>
  <si>
    <t>- Chi bổ sung có mục tiêu</t>
  </si>
  <si>
    <t>Kết dư</t>
  </si>
  <si>
    <t>3 = 2/1</t>
  </si>
  <si>
    <t>So sánh
QT/DT (%)</t>
  </si>
  <si>
    <t>(4)=(2)/(1)</t>
  </si>
  <si>
    <t>(5)=(3)/(1)</t>
  </si>
  <si>
    <t>QUYẾT TOÁN NGUỒN THU NSNN TRÊN ĐỊA BÀN THEO LĨNH VỰC NĂM 2017</t>
  </si>
  <si>
    <t>CHI CÁC CHƯƠNG TRÌNH MỤC TIÊU</t>
  </si>
  <si>
    <t>TỔNG NGUỒN THU NSNN (A+B+C+D+E)</t>
  </si>
  <si>
    <t>QUYẾT TOÁN CHI NSĐP THEO LĨNH VỰC NĂM 2017</t>
  </si>
  <si>
    <t>CHI CHUYỂN NGUỒN SANG NĂM SAU</t>
  </si>
  <si>
    <t>CHI CÂN ĐỐI NGÂN SÁCH ĐỊA PHƯƠNG</t>
  </si>
  <si>
    <t>TỔNG CHI NGÂN SÁCH ĐỊA PHƯƠNG</t>
  </si>
  <si>
    <t>3=2/1</t>
  </si>
  <si>
    <t>Quyết toán
năm 2017</t>
  </si>
  <si>
    <t>Biểu mẫu số 53</t>
  </si>
  <si>
    <t>QUYẾT TOÁN CHI NSĐP, CHI NGÂN SÁCH CẤP TỈNH VÀ
CHI NGÂN SÁCH HUYỆN (XÃ) THEO CƠ CẤU CHI NĂM 2017</t>
  </si>
  <si>
    <t>CHI CÂN ĐỐI NGÂN SÁCH</t>
  </si>
  <si>
    <t>Cấp tỉnh</t>
  </si>
  <si>
    <t>Cấp
huyện (xã)</t>
  </si>
  <si>
    <t>1=2+3</t>
  </si>
  <si>
    <t>4=5+6</t>
  </si>
  <si>
    <t>Ngân sách
cấp tỉnh</t>
  </si>
  <si>
    <t>NSĐP</t>
  </si>
  <si>
    <t>NS
cấp tỉnh</t>
  </si>
  <si>
    <t>NS cấp
huyện (xã)</t>
  </si>
  <si>
    <t>7=4/1</t>
  </si>
  <si>
    <t>8=5/2</t>
  </si>
  <si>
    <t>9=6/3</t>
  </si>
  <si>
    <t>KẾ DƯ NSĐP (B-C)</t>
  </si>
  <si>
    <t>Ngân sách
cấp huyện (xã)</t>
  </si>
  <si>
    <t>HỘI ĐỒNG NHÂN DÂN</t>
  </si>
  <si>
    <t>Biểu mẫu số 48</t>
  </si>
  <si>
    <t>Tuyệt đối</t>
  </si>
  <si>
    <t>(Kèm theo Nghị quyết số           /NQ-HĐND ngày         /12/2018 của Hội đồng nhân dân tỉnh)</t>
  </si>
  <si>
    <t>Tương đối (%)</t>
  </si>
  <si>
    <t xml:space="preserve">       TỈNH CÀ MAU</t>
  </si>
  <si>
    <t>Biểu mẫu số 49</t>
  </si>
  <si>
    <t>- Bổ sung cân đối</t>
  </si>
  <si>
    <t>- Bổ sung có mục tiêu</t>
  </si>
  <si>
    <t xml:space="preserve">- Bổ sung CTMT quốc gia  </t>
  </si>
  <si>
    <t>- Bổ sung có mục tiêu bằng nguồn vốn ngoài  nước</t>
  </si>
  <si>
    <t>Quyết toán thu NS địa phương 2017</t>
  </si>
  <si>
    <t>Quyết toán thu NSNN 2017</t>
  </si>
  <si>
    <t>1.1- Thuế giá trị gia tăng hàng SXKD trong nước</t>
  </si>
  <si>
    <t>1/- Thu từ DNNN trung ương</t>
  </si>
  <si>
    <t>I/- Thu nội địa</t>
  </si>
  <si>
    <t>A/- TỔNG THU CĐ NGÂN SÁCH NHÀ NƯỚC</t>
  </si>
  <si>
    <t>1.2- Thuế tiêu thụ đặc biệt hàng nội địa</t>
  </si>
  <si>
    <t>1.3- Thuế thu nhập doanh nghiệp</t>
  </si>
  <si>
    <t>1.4- Thu nhập sau thuế thu nhập doanh nghiệp</t>
  </si>
  <si>
    <t>1.5- Thuế tài nguyên</t>
  </si>
  <si>
    <t>1.6- Thuế môn bài</t>
  </si>
  <si>
    <t>1.7- Thu sử dụng vốn ngân sách</t>
  </si>
  <si>
    <t>1.8- Thu khác</t>
  </si>
  <si>
    <t>2/- Thu từ doanh nghiệp nhà nước địa phương</t>
  </si>
  <si>
    <t>2.1- Thuế giá trị gia tăng hàng SXKD trong nước</t>
  </si>
  <si>
    <t>2.2- Thuế tiêu thụ đặc biệt hàng nội địa</t>
  </si>
  <si>
    <t>2.3- Thuế thu nhập doanh nghiệp</t>
  </si>
  <si>
    <t>2.4- Thu nhập sau thuế thu nhập doanh nghiệp</t>
  </si>
  <si>
    <t>2.5- Thuế tài nguyên</t>
  </si>
  <si>
    <t>2.6- Thuế môn bài</t>
  </si>
  <si>
    <t>2.7- Thu sử dụng vốn ngân sách</t>
  </si>
  <si>
    <t>2.8- Thu khác</t>
  </si>
  <si>
    <t>3/- Thu từ DN có vốn đầu tư nước ngoài</t>
  </si>
  <si>
    <t>3.1- Thuế giá trị gia tăng hàng SXKD trong nước</t>
  </si>
  <si>
    <t>3.2- Thuế thu nhập doanh nghiệp</t>
  </si>
  <si>
    <t>3.3- Thuế môn bài</t>
  </si>
  <si>
    <t>3.4- Tiền thuê mặt đất, mặt nước, mặt biển</t>
  </si>
  <si>
    <t>3.5- Thuế tài nguyên</t>
  </si>
  <si>
    <t>3.6- Thu khác</t>
  </si>
  <si>
    <t>4/- Thu từ khu vực CTN - ngoài quốc doanh</t>
  </si>
  <si>
    <t>4.1- Thuế giá trị gia tăng hàng SXKD trong nước</t>
  </si>
  <si>
    <t>4.2- Thuế tiêu thụ đặc biệt hàng nội địa</t>
  </si>
  <si>
    <t>4.3- Thuế thu nhập doanh nghiệp</t>
  </si>
  <si>
    <t>4.4- Thuế tài nguyên</t>
  </si>
  <si>
    <t>4.5- Thuế môn bài</t>
  </si>
  <si>
    <t>4.6- Thu khác</t>
  </si>
  <si>
    <t>5/- Lệ phí trước bạ</t>
  </si>
  <si>
    <t>6/- Thuế sử dụng đất nông nghiệp</t>
  </si>
  <si>
    <t>7/- Thuế sử dụng đất phi nông nghiệp</t>
  </si>
  <si>
    <t>8/- Thuế thu nhập cá nhân</t>
  </si>
  <si>
    <t>9/- Thuế bảo vệ môi trường</t>
  </si>
  <si>
    <t>10/- Thu phí, lệ phí</t>
  </si>
  <si>
    <t>10.1- Phí, lệ phí Trung ương</t>
  </si>
  <si>
    <t>10.2- Phí, lệ phí Địa phương</t>
  </si>
  <si>
    <t>11/- Thu tiền sử dụng đất</t>
  </si>
  <si>
    <t>12/- Thu tiền thuê đất, mặt nước</t>
  </si>
  <si>
    <t>13/- Thu tiền cho thuê và bán nhà ở thuộc sở hữu nhà nước</t>
  </si>
  <si>
    <t>14/- Thu khác ngân sách</t>
  </si>
  <si>
    <t>15/- Thu từ quỹ đất công ích và thu hoa lợi công sản khác</t>
  </si>
  <si>
    <t>16/- Thu từ hoạt động xổ số kiến thiết</t>
  </si>
  <si>
    <t>17/- Thu tại xã</t>
  </si>
  <si>
    <t>17.1- Thu tiền cho thuê quầy hàng, bán hàng</t>
  </si>
  <si>
    <t>17.2- Thu hồi các khoản chi năm trước (xã)</t>
  </si>
  <si>
    <t>17.3- Thu phạt, tịch thu (xã)</t>
  </si>
  <si>
    <t>Trong đó: Phạt an toàn giao thông</t>
  </si>
  <si>
    <t>17.4- Thu khác (xã)</t>
  </si>
  <si>
    <t>18/- Các khoản thu về nhà, đất và khoáng sản</t>
  </si>
  <si>
    <t>13.1- Thu thuế chuyển quyền sử dụng đất</t>
  </si>
  <si>
    <t>13.2- Thu tiền cấp quyền khai thác khoáng sản</t>
  </si>
  <si>
    <t>II/-Thu hải quan</t>
  </si>
  <si>
    <t>1/- Thuế xuất khẩu</t>
  </si>
  <si>
    <t>2/- Thuế nhập khẩu</t>
  </si>
  <si>
    <t>3/- Thuế bảo vệ môi trường do CQ Hải quan thực hiện</t>
  </si>
  <si>
    <t>4/- Thuế giá trị gia tăng hàng nhập khẩu</t>
  </si>
  <si>
    <t>5/- Khác</t>
  </si>
  <si>
    <t>III/- Thu viện trợ</t>
  </si>
  <si>
    <t>IV/- Các khoản huy động, đóng góp</t>
  </si>
  <si>
    <t>1/- Các khoản huy động đóng góp xây dựng cơ sở hạ tầng</t>
  </si>
  <si>
    <t>2/- Các khoản huy động đóng góp khác</t>
  </si>
  <si>
    <t xml:space="preserve">V/- Thu hồi vốn của Nhà nước và thu từ quỹ dự trữ tài chính </t>
  </si>
  <si>
    <t>1/- Thu từ bán cổ phần, vốn góp của Nhà nước nộp ngân sách</t>
  </si>
  <si>
    <t>B/-THU TỪ QUỸ DỰ TRỮ TÀI CHÍNH</t>
  </si>
  <si>
    <t>C/- THU CHUYỂN GIAO NGÂN SÁCH</t>
  </si>
  <si>
    <t>D/- THU CHUYỂN NGUỒN</t>
  </si>
  <si>
    <t>E/- THU KẾT DƯ NGÂN SÁCH</t>
  </si>
  <si>
    <t>Biểu mẫu số 50</t>
  </si>
  <si>
    <t>Quyết toán chi ngân sách năm 2017</t>
  </si>
  <si>
    <t>Chi đầu tư phát triển cho chương trình, dự án theo lĩnh vực</t>
  </si>
  <si>
    <t>Trong đó: Ghi chi nguồn vốn ODA</t>
  </si>
  <si>
    <t>(Kèm theo Nghị quyết số            /NQ-HĐND ngày         /12/2018 của Hội đồng nhân dân tỉnh)</t>
  </si>
  <si>
    <t>Biểu mẫu số 58</t>
  </si>
  <si>
    <t>QUYẾT TOÁN CHI NGÂN SÁCH THEO MỘT SỐ LĨNH VỰC CỦA TỪNG HUYỆN, THÀNH PHỐ THUỘC TỈNH NĂM 2017</t>
  </si>
  <si>
    <t>Giáo dục đào tạo và dạy nghề</t>
  </si>
  <si>
    <t>Khoa học công nghệ</t>
  </si>
  <si>
    <t>III/-Chi chương trình mục tiêu QG</t>
  </si>
  <si>
    <t>IV/- Chi nộp trả ngân sách cấp trên</t>
  </si>
  <si>
    <t>V/- Chi chuyển nguồn ngân sách năm sau</t>
  </si>
  <si>
    <r>
      <t>Dự án đầu tư xây dựng hạ tầng kỹ thuật Khu B - Khu công nghiệp Khánh An (</t>
    </r>
    <r>
      <rPr>
        <i/>
        <sz val="7"/>
        <rFont val="Times New Roman"/>
        <family val="1"/>
      </rPr>
      <t>Hạng mục hệ thống thoát nước mưa đường N1)</t>
    </r>
  </si>
  <si>
    <r>
      <t xml:space="preserve">Dự án đầu tư xây dựng cầu Chà Là theo hình thức Hợp đồng BOT </t>
    </r>
    <r>
      <rPr>
        <i/>
        <sz val="7"/>
        <rFont val="Times New Roman"/>
        <family val="1"/>
      </rPr>
      <t>(chỉ thanh toán chi phí lập đề xuất dự án)</t>
    </r>
  </si>
  <si>
    <r>
      <t xml:space="preserve">Dự án đầu tư xây dựng cầu Vàm Xáng Cái Ngay theo hình thức Hợp đồng BOT </t>
    </r>
    <r>
      <rPr>
        <i/>
        <sz val="7"/>
        <rFont val="Times New Roman"/>
        <family val="1"/>
      </rPr>
      <t>(chỉ thanh toán chi phí lập đề xuất dự án)</t>
    </r>
  </si>
  <si>
    <r>
      <t xml:space="preserve">Dự án đầu tư xây dựng tuyến đường bờ Bắc thị trấn Cái Đôi Vàm, huyện Phú Tân theo hình thức Hợp đồng BT </t>
    </r>
    <r>
      <rPr>
        <i/>
        <sz val="7"/>
        <rFont val="Times New Roman"/>
        <family val="1"/>
      </rPr>
      <t>(chỉ thanh toán chi phí lập đề xuất dự án)</t>
    </r>
  </si>
  <si>
    <r>
      <t>Trường Mẫu giáo xã Đất Mũi, huyện Ngọc Hiển</t>
    </r>
    <r>
      <rPr>
        <i/>
        <sz val="7"/>
        <rFont val="Times New Roman"/>
        <family val="1"/>
      </rPr>
      <t xml:space="preserve"> </t>
    </r>
  </si>
  <si>
    <r>
      <t xml:space="preserve">Trung tâm Văn hóa - Thể thao xã Hòa Mỹ, huyện Cái Nước </t>
    </r>
    <r>
      <rPr>
        <i/>
        <sz val="7"/>
        <rFont val="Times New Roman"/>
        <family val="1"/>
      </rPr>
      <t>(Xã đạt chuẩn nông thôn mới trong năm 2017)</t>
    </r>
  </si>
  <si>
    <r>
      <t xml:space="preserve">Trường Trung cấp Kinh tế - Kỹ thuật tỉnh Cà Mau cơ sở 2 </t>
    </r>
    <r>
      <rPr>
        <i/>
        <sz val="7"/>
        <rFont val="Times New Roman"/>
        <family val="1"/>
      </rPr>
      <t>(đầu tư xây dựng khối thực hành, khối học tập)</t>
    </r>
  </si>
  <si>
    <r>
      <rPr>
        <b/>
        <sz val="7"/>
        <rFont val="Times New Roman"/>
        <family val="1"/>
      </rPr>
      <t>Mã nguồn 42_</t>
    </r>
    <r>
      <rPr>
        <sz val="7"/>
        <rFont val="Times New Roman"/>
        <family val="1"/>
      </rPr>
      <t>Bờ kè Chợ nổi trên sông</t>
    </r>
  </si>
  <si>
    <r>
      <t xml:space="preserve">Đối ứng Dự án quản lý thủy lợi phục vụ phát triển nông thôn vùng ĐBSCL - Tiểu Hợp phần vệ sinh nông thôn </t>
    </r>
    <r>
      <rPr>
        <i/>
        <sz val="7"/>
        <rFont val="Times New Roman"/>
        <family val="1"/>
      </rPr>
      <t>(Hoàn trả tạm ứng ngân sách)</t>
    </r>
  </si>
  <si>
    <t>Đơn vị: Đồng.</t>
  </si>
  <si>
    <t>QUYẾT TOÁN VỐN ĐẦU TƯ CÁC CHƯƠNG TRÌNH, DỰ ÁN SỬ DỤNG VỐN NGÂN SÁCH NHÀ NƯỚC NĂM 2017</t>
  </si>
  <si>
    <t>Kế hoạch và thanh toán vốn đầu tư các năm trước
được kéo dài thời gian thực hiện và thanh toán sang năm 2017</t>
  </si>
  <si>
    <t>Các dự án thuộc kế hoạch năm 2017</t>
  </si>
  <si>
    <t>VỐN ĐẦU TƯ TỪ NSĐP</t>
  </si>
  <si>
    <t>Mã nguồn 42-Nguồn tập trung thu tiền sử dụng đất tỉnh quản lý</t>
  </si>
  <si>
    <t>Bệnh viện Đa khoa khu vực Đầm Dơi</t>
  </si>
  <si>
    <t>Bệnh viện Đa khoa huyện Phú Tân</t>
  </si>
  <si>
    <t>Bệnh viện Đa khoa U Minh</t>
  </si>
  <si>
    <t>Bệnh viện Đa khoa Thới Bình</t>
  </si>
  <si>
    <t>02 ô thủy lợi phục vụ thủy sản: Hệ thống thủy lợi tiểu vùng 5 Nam Cà Mau</t>
  </si>
  <si>
    <t>Đường ô tô đến Trung tâm xã  Nguyễn Huân</t>
  </si>
  <si>
    <t>Đường ô tô đến trung tâm xã Tân Đức (từ Đầu Trâu đến Tân Đức), huyện Đầm Dơi</t>
  </si>
  <si>
    <t>Đường ô tô đến trung tâm xã Trần Hợi - TVT</t>
  </si>
  <si>
    <t>Đường ô tô đến trung tâm xã Đông Hưng</t>
  </si>
  <si>
    <t>Đường trung tâm xã Hàng Vịnh - NH</t>
  </si>
  <si>
    <t>Dự án xây dựng kè tạm chống sạt nở đê biển Tây</t>
  </si>
  <si>
    <t>Dự án hỗ trợ y tế đồng bằng sông Cửu Long tỉnh Cà Mau</t>
  </si>
  <si>
    <t>Trường THPT thị trấn Sông Đốc - Trần Văn Thời</t>
  </si>
  <si>
    <t>Dự án khu tái định cư dân cư vùng sạt lở Cái Đôi Vàm, huyện Phú Tân</t>
  </si>
  <si>
    <t>Dự án khu neo đậu tàu thuyền tránh bão cửa Sông Đốc, huyện Trần Văn Thời</t>
  </si>
  <si>
    <t>Dự án cảng cá Sông Đốc</t>
  </si>
  <si>
    <t>Dự án đầu tư cơ sở hạ tầng đảo Hòn Chuối</t>
  </si>
  <si>
    <t>Dự án cảng cá Hòn Khoai</t>
  </si>
  <si>
    <t>Xây dựng HT khu TĐC va sắp xếp DC KV Xẻo Quao - Sông Đốc</t>
  </si>
  <si>
    <t>Dự án đầu tư SXDC khu vực Chợ Thủ, xã Tam Giang Tây-Năm Căn</t>
  </si>
  <si>
    <t>Dự án khu tái định cư rừng phòng hộ biển Tây, huyện Trần Văn Thời</t>
  </si>
  <si>
    <t xml:space="preserve">Xây dựng bờ kè chống xói lở tại cửa biển Khánh Hội </t>
  </si>
  <si>
    <t>Dự án khu tái định cư rừng phòng hộ biển Tây, huyện U Minh</t>
  </si>
  <si>
    <t>Dự án khu tái định cư rừng phòng hộ biển Tây, huyện Phú Tân</t>
  </si>
  <si>
    <t>Dự án khả thi bãi rác thị trấn Năm Căn, huyện Năm Căn</t>
  </si>
  <si>
    <t>Dự án khả thi bãi rác thị trấn Thới Bình, huyện Thới Bình</t>
  </si>
  <si>
    <t>Dự án khả thi bãi rác huyện Cái Nước</t>
  </si>
  <si>
    <t>Dự án khả thi bãi rác thị trấn Cái Đôi Vàm, huyện Phú Tân</t>
  </si>
  <si>
    <t>Dự án khả thi bãi rác huyện U Minh</t>
  </si>
  <si>
    <t>Dự án trồng mới 5 triệu ha rừng</t>
  </si>
  <si>
    <t>NGUỒN VỐN NSTW</t>
  </si>
  <si>
    <t>Mã nguồn 43_Vốn CTMT QG</t>
  </si>
  <si>
    <t>D. Tại KBNN các huyện (Dự án KCH gđ1_tỉnh QL, mã nguồn 49)</t>
  </si>
  <si>
    <t>Kinh phí bồi thường, GPMB dự án xây dựng khu sản xuất giống tập trung Ngọc Hiển</t>
  </si>
  <si>
    <t>Xây dựng 1 số hạng mục công trình quanh khu vực Bia kỷ niệm Ban Ấn loát Tây Nam Bộ</t>
  </si>
  <si>
    <t>Xây dựng sân, sửa chữa dãy TN, sửa chữa KTX Trường Cao đẳng Sư phạm tỉnh Cà Mau</t>
  </si>
  <si>
    <t>Dự án Đầu tư xây dựng nhà ở xã hội - giai đoạn 02</t>
  </si>
  <si>
    <t>Dự án sinh sản và bảo tồn giống cá đồng tại U Minh</t>
  </si>
  <si>
    <t>Dự án bảo tồn và sinh sản các loài thủy sản nước ngọt huyện Thới Bình</t>
  </si>
  <si>
    <t>Dự án đào tạo, bồi dưỡng GV tăng cường CSVC các trường - Trường CĐSPCM</t>
  </si>
  <si>
    <t>Cấp nước tập trung nông thôn xã Rạch Chèo - Phú Tân</t>
  </si>
  <si>
    <t>Cấp nước tập trung nông thôn ấp 10A-Trần Hợi - TVT</t>
  </si>
  <si>
    <t>Cấp nước tập trung nông thôn ấp Hưng Hiệp - Tân Hưng Tây - Phú Tân</t>
  </si>
  <si>
    <t>Cấp nước tập trung nông thôn xã Tân Tiến - Đầm Dơi</t>
  </si>
  <si>
    <t>Dự án đầu tư mở rộng đường Cà Mau - Đầm Dơi (đoạn từ Hải Thượng Lãn Ông đến cầu Hòa Trung)</t>
  </si>
  <si>
    <t xml:space="preserve">Dự án đầu tư xây dựng kết cấu hạ tầng đường Ngô Quyền (đoạn từ cổng Công viên Văn hóa đến đường Võ Văn Tần), TP. Cà Mau </t>
  </si>
  <si>
    <t>Trụ sở liên cơ quan huyện Phú Tân giai đoạn 03</t>
  </si>
  <si>
    <r>
      <t xml:space="preserve">Trụ sở Ban QLDA công trình Nông nghiệp và PTNT </t>
    </r>
    <r>
      <rPr>
        <i/>
        <sz val="7"/>
        <rFont val="Times New Roman"/>
        <family val="1"/>
      </rPr>
      <t xml:space="preserve">(NSNN hỗ trợ 50% tổng mức đầu tư) </t>
    </r>
  </si>
  <si>
    <t>Sửa chữa, nâng cấp Trụ sở làm việc HĐND-UBND huyện U Minh</t>
  </si>
  <si>
    <t>Trụ sở làm việc Công an xã trên địa bàn tỉnh Cà Mau, giai đoạn 2016 - 2020</t>
  </si>
  <si>
    <t>Bồi thường GPMB xây dựng trụ sở Hải đội Biên phòng 2 (063)</t>
  </si>
  <si>
    <t>Xây dựng mới Trạm Kiểm soát Biên phòng Sông Đốc (055)</t>
  </si>
  <si>
    <t>Xây dựng mới một số hạng mục công trình của Đồn Biên phòng Sông Đốc (054)</t>
  </si>
  <si>
    <t>Nâng cấp, sửa chữa, cải tạo Trạm Kiểm soát Biên phòng Rạch Gốc (057)</t>
  </si>
  <si>
    <t>Sửa chữa, xây dựng mới một số hạng mục công trình của Đồn Biên phòng Hòn Chuối (058)</t>
  </si>
  <si>
    <t>Nhà ở chiến sỹ mới Đại đội huấn luyện thuộc Bộ đội Biên phòng tỉnh Cà Mau (059)</t>
  </si>
  <si>
    <r>
      <t xml:space="preserve">Dự án đóng mới 02 tàu phục vụ hoạt động các lực lượng trên đảo Hòn Khoai </t>
    </r>
    <r>
      <rPr>
        <i/>
        <sz val="7"/>
        <rFont val="Times New Roman"/>
        <family val="1"/>
      </rPr>
      <t>(chỉ đóng mới 01 tàu 3,5 tấn) (060)</t>
    </r>
  </si>
  <si>
    <t>KH Bảo vệ và phát triển rừng-Cty TNHH MTV LN Ngọc Hiển</t>
  </si>
  <si>
    <t>KH Bảo vệ và phát triển rừng-Phòng NN&amp;PTNT Cái Nước</t>
  </si>
  <si>
    <t>KH Bảo vệ và phát triển rừng-Ban QLRPH Nhưng Miên</t>
  </si>
  <si>
    <t>KH Bảo vệ và phát triển rừng-Phòng KT TP Cà Mau</t>
  </si>
  <si>
    <t>KH Bảo vệ và phát triển rừng-Vườn Quốc gia U Minh Hạ</t>
  </si>
  <si>
    <t>KH Bảo vệ và phát triển rừng-Ban QLRPH Đất Mũi</t>
  </si>
  <si>
    <t>KH Bảo vệ và phát triển rừng-Chi cục Kiểm Lâm</t>
  </si>
  <si>
    <t>KH Bảo vệ và phát triển rừng-Ban QLRPH Tam Giang I</t>
  </si>
  <si>
    <t>KH Bảo vệ và phát triển rừng-Ban QLRPH Sào Lưới</t>
  </si>
  <si>
    <t>KH bảo vệ và phát triển rừng tỉnh CM năm 2013-2020 (Đầm Dơi)</t>
  </si>
  <si>
    <t>KH Bảo vệ và phát triển rừng-Ban QLRPH Kiến Vàng</t>
  </si>
  <si>
    <t>KH Bảo vệ và phát triển rừng-Phòng NN&amp;PTNT Thới Bình</t>
  </si>
  <si>
    <t>Xây dựng Salatel cho vùng đồng bào dân tộc Khmer trên địa bàn tỉnh Cà Mau, giai đoạn 2016-2020</t>
  </si>
  <si>
    <t>Dự án xây dựng mở rộng đường Tắc Thủ - U Minh</t>
  </si>
  <si>
    <t>Dự án nâng cấp đô thị vùng đồng bằng sông Cửu Long - Tiểu dự án thành phố Cà Mau</t>
  </si>
  <si>
    <t>Dự án nguồn lợi ven biển vì sự phát triển bền vững tỉnh Cà Mau</t>
  </si>
  <si>
    <t>Đường ô tô đến TT xã Tam Giang Tây (tơ trung tâm huyện đến Tam Giang Tây)</t>
  </si>
  <si>
    <t>* Nguồn tăng thu tiền sử dụng đất 2017: CV số 9585/UBND-TH, ngày 05/12/2017</t>
  </si>
  <si>
    <t>Nhà quản lý người nước ngoài (051)</t>
  </si>
  <si>
    <t>Danh trại Sở chỉ huy Bộ đội Biên Phòng tỉnh (004)</t>
  </si>
  <si>
    <t>Khu vực phòng thủ tỉnh Cà Mau (gồm chi phí bồi thường GPMB Sở Chỉ huy thống nhất 3.480 triệu đồng) (052)</t>
  </si>
  <si>
    <t>XD tuyến đường Đầm Dơi -T.Tùng</t>
  </si>
  <si>
    <t>Khu neo đậu tránh trú bão cho tàu cá Rạch Gốc - Ng.Hiển</t>
  </si>
  <si>
    <t>DA XD các tuyến đường trên đảo Hòn Khoai</t>
  </si>
  <si>
    <t>Trường THPT-TT-Sông Đốc-TVT</t>
  </si>
  <si>
    <t>Lập dự án XD cầu Xóm Lớn (Rạch Sao 2 ) - Đầm Dơi</t>
  </si>
  <si>
    <t>DA mở rộng khu di tích căn cứ Tỉnh ủy Lung lá nhà thể</t>
  </si>
  <si>
    <t>Trung tâm VHTT huyện Phú Tân (GPMB và triển khai 1 số hạng mục)</t>
  </si>
  <si>
    <t>DA tiếp nhận, chuyển giao CNSS nhân tạo, cua biển, cá rô phi</t>
  </si>
  <si>
    <t>Cấp nước tập trung nông thôn ấp Lung Dừa - Lý Văn Lâm - CM</t>
  </si>
  <si>
    <t>Xử lư chất thải rắn BV ĐKKV Dầm Dơi (Thuộc DA hỗ trợ)</t>
  </si>
  <si>
    <t>Xử lư chất thải rắn BV ĐKKV Cái Nước (Thuộc DA Hỗ trợ)</t>
  </si>
  <si>
    <t>Xử lư chất thải rắn BV ĐKKV Năm Căn (Thuộc DA Hỗ trợ)</t>
  </si>
  <si>
    <t>Xử lư chất thải rắn BV ĐKKV Trần Văn Thời (Thuộc DA Hỗ trợ)</t>
  </si>
  <si>
    <t>Xử lư chất thải rắn BV ĐK Cà Mau (Thuộc DA Hỗ trợ)</t>
  </si>
  <si>
    <t>Xử lư chất thải rắn BV Sản Nhi (Thuộc DA Hỗ trợ)</t>
  </si>
  <si>
    <t>DA XD Bến cập tàu Bãi nhỏ &amp; đường tuần tra đảo Hòn Khoai</t>
  </si>
  <si>
    <t>Chống xạc lở gây bồi, trồng cây ngập mặn BV đê KV Đất Mũi</t>
  </si>
  <si>
    <t>Bệnh viện phục hồi và PT rừng ngập mặn ven biển CM 2015-2020</t>
  </si>
  <si>
    <t>Chống xạc lở gây bồi, trồng cây ngập mặn BV đê TVT</t>
  </si>
  <si>
    <t>Xử lư chất thải rắn BV ĐKKV Dầm Dơi (Thuộc DA Hỗ trợ)</t>
  </si>
  <si>
    <t>Dự án xây dựng cống Hương Mai</t>
  </si>
  <si>
    <t>Dự án đầu tư xây dựng tuyến đường trục Đông - Tây tỉnh CM (đoạn từ QL1 đến cửa biển Gành Hào và cầu qua sông Cái Nai - Khu Kinh tế Năm Căn)</t>
  </si>
  <si>
    <t>Bệnh viện đa khoa huyện U Minh</t>
  </si>
  <si>
    <t>Bệnh viện ĐKKV Cái Nước</t>
  </si>
  <si>
    <r>
      <rPr>
        <b/>
        <sz val="7"/>
        <rFont val="Times New Roman"/>
        <family val="1"/>
      </rPr>
      <t>Mã nguồn 42_</t>
    </r>
    <r>
      <rPr>
        <sz val="7"/>
        <rFont val="Times New Roman"/>
        <family val="1"/>
      </rPr>
      <t>Đường nối QL1A vào DA khu DC phía Đông QL1A (khu A) xã Lý Văn Lâm, thành phố Cà Mau</t>
    </r>
  </si>
  <si>
    <t>HT các CT Tỉnh đội và Biên Phòng</t>
  </si>
  <si>
    <t>Bồi thường TĐC-XD trụ sở Đảng ủy khối Dân Chính đảng</t>
  </si>
  <si>
    <t>Dự án khu trung tâm HC - Chính trị tỉnh Cà Mau</t>
  </si>
  <si>
    <t>Xây dựng 1588 cầu nông thôn</t>
  </si>
  <si>
    <t>QH tổng thể PTr giáo dục và đào tạo tỉnh CM đến 2020</t>
  </si>
  <si>
    <t>Bồi thường GPMB XD Trụ sở Ban CHQS Ngọc Hiển</t>
  </si>
  <si>
    <t>Bồi thường, GPMB - quy hoạch trung tâm huyện Ngọc Hiển</t>
  </si>
  <si>
    <t>Lập dự án đầu tư xây dựng hạ tầng kỹ thuật trung tâm HC-CT tỉnh CM</t>
  </si>
  <si>
    <t>Tuyến đường trục chính Khu Kinh tế Năm Căn, tỉnh Cà Mau (giai đoạn 1)</t>
  </si>
  <si>
    <t>Trường THPT Trần Văn Thời KCH</t>
  </si>
  <si>
    <t>DAĐTXD đường cứu hộ, cứu nạn đê biển Tây, phục vụ an ninh, quốc phòng,…</t>
  </si>
  <si>
    <t>DAXD tuyến đường phía bờ nam sông Ông Đốc nối vào Quốc lộ 1A (Rau Dừa - Rạch Rán)</t>
  </si>
  <si>
    <t>Dự án đường trục chính Bắc-Nam Khu Kinh tế Năm Căn, tỉnh Cà Mau</t>
  </si>
  <si>
    <t>Dự án đầu tư xây dựng hạ tầng điểm du lịch Đất Mũi thuộc khu du lịch Quốc gia Năm Căn</t>
  </si>
  <si>
    <t>Bệnh viện ĐK khu vực Cái Nước</t>
  </si>
  <si>
    <t>DA ĐT XD hệ thống thủy lợi tiểu vùng III - Bắc Cà Mau</t>
  </si>
  <si>
    <t>Đường ô tô đến trung tâm xã Tạ An Khương Đông (từ thị trấn Đầm Dơi đến Tạ An Khương)</t>
  </si>
  <si>
    <t>Đường ô tô đến trung tâm xã Trí Lực - Thới Bình</t>
  </si>
  <si>
    <t>Tuyến đường ô tô đế TT xã hưng Mỹ, huyện Cái Nước</t>
  </si>
  <si>
    <t>Đường ô tô TT xã Đất Mũi - NH (Ông Trang - Khai Long)</t>
  </si>
  <si>
    <t>ỦY BAN NHÂN DÂN</t>
  </si>
  <si>
    <t xml:space="preserve">     TỈNH CÀ MAU</t>
  </si>
  <si>
    <t>(Kèm theo Báo cáo số 248/BC-UBND ngày 15/11/2018 của Ủy ban nhân dân tỉnh)</t>
  </si>
  <si>
    <t>(Kèm theo Quyết định số         /QĐ-UBND ngày         /12/2018 của Ủy ban nhân dân tỉnh)</t>
  </si>
  <si>
    <t xml:space="preserve">  ỦY BAN NHÂN DÂN</t>
  </si>
  <si>
    <t>Biểu số 63/CK-NSNN</t>
  </si>
  <si>
    <t>Biểu số 65/CK-NSNN</t>
  </si>
  <si>
    <t>(Kèm theo Quyết định số         /QĐ-UBND ngày         /8/2019 của Ủy ban nhân dân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</si>
</sst>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79">
    <numFmt numFmtId="164" formatCode="_(* #,##0.00_);_(* \(#,##0.00\);_(* &quot;-&quot;??_);_(@_)"/>
    <numFmt numFmtId="165" formatCode="_ * #,##0.00_)_v_n_d_ ;_ * \(#,##0.00\)_v_n_d_ ;_ * &quot;-&quot;??_)_v_n_d_ ;_ @_ "/>
    <numFmt numFmtId="166" formatCode="0;[Red]0"/>
    <numFmt numFmtId="167" formatCode="_-\€* #,##0_-;&quot;-€&quot;* #,##0_-;_-\€* \-_-;_-@_-"/>
    <numFmt numFmtId="168" formatCode="00.000"/>
    <numFmt numFmtId="169" formatCode="_ * #,##0.00_)\ _$_ ;_ * \(#,##0.00&quot;) &quot;_$_ ;_ * \-??_)\ _$_ ;_ @_ "/>
    <numFmt numFmtId="170" formatCode="\?#,##0;&quot;?-&quot;#,##0"/>
    <numFmt numFmtId="171" formatCode="_ * #,##0_)\ _$_ ;_ * \(#,##0&quot;) &quot;_$_ ;_ * \-_)\ _$_ ;_ @_ "/>
    <numFmt numFmtId="172" formatCode="_(* #,##0_);_(* \(#,##0\);_(* \-_);_(@_)"/>
    <numFmt numFmtId="173" formatCode="_-* #,##0_-;\-* #,##0_-;_-* \-_-;_-@_-"/>
    <numFmt numFmtId="174" formatCode="_-* #,##0.00_-;\-* #,##0.00_-;_-* \-??_-;_-@_-"/>
    <numFmt numFmtId="175" formatCode="\$#,##0_);[Red]&quot;($&quot;#,##0\)"/>
    <numFmt numFmtId="176" formatCode="_-* #,##0\€_-;\-* #,##0\€_-;_-* &quot;-€&quot;_-;_-@_-"/>
    <numFmt numFmtId="177" formatCode="##,###,###,###,000"/>
    <numFmt numFmtId="178" formatCode="_-* #,##0.00_$_-;\-* #,##0.00_$_-;_-* \-??_$_-;_-@_-"/>
    <numFmt numFmtId="179" formatCode="_(* #,##0.00000000_);_(* \(#,##0.00000000\);_(* \-??_);_(@_)"/>
    <numFmt numFmtId="180" formatCode="_-* #,##0_$_-;\-* #,##0_$_-;_-* \-_$_-;_-@_-"/>
    <numFmt numFmtId="181" formatCode="\;"/>
    <numFmt numFmtId="182" formatCode="0.000_)"/>
    <numFmt numFmtId="183" formatCode="_-* #,##0.00\ _₫_-;\-* #,##0.00\ _₫_-;_-* \-??\ _₫_-;_-@_-"/>
    <numFmt numFmtId="184" formatCode="_(* #,##0.00_);_(* \(#,##0.00\);_(* \-??_);_(@_)"/>
    <numFmt numFmtId="185" formatCode="#,##0&quot; þ&quot;;[Red]\-#,##0&quot; þ&quot;"/>
    <numFmt numFmtId="186" formatCode="_-* #,##0.00_V_N_D_-;_-* #,##0.00_V_N_D\-;_-* \-??_V_N_D_-;_-@_-"/>
    <numFmt numFmtId="187" formatCode="#,##0;\(#,##0\)"/>
    <numFmt numFmtId="188" formatCode="_ * #,##0.00_ ;_ * \-#,##0.00_ ;_ * \-??_ ;_ @_ "/>
    <numFmt numFmtId="189" formatCode="_-* #,##0.00&quot; ₫&quot;_-;\-* #,##0.00&quot; ₫&quot;_-;_-* \-??&quot; ₫&quot;_-;_-@_-"/>
    <numFmt numFmtId="190" formatCode="0.00000"/>
    <numFmt numFmtId="191" formatCode="\$#,##0\ ;&quot;($&quot;#,##0\)"/>
    <numFmt numFmtId="192" formatCode="\t0.00%"/>
    <numFmt numFmtId="193" formatCode="&quot;$    &quot;#,##0_);&quot;($   &quot;#,##0\)"/>
    <numFmt numFmtId="194" formatCode="&quot;$     &quot;#,##0_);&quot;($     &quot;#,##0\)"/>
    <numFmt numFmtId="195" formatCode="\t#\ ??/??"/>
    <numFmt numFmtId="196" formatCode="#,###;\-#,###;&quot;&quot;;_(@_)"/>
    <numFmt numFmtId="197" formatCode="_-\£* #,##0_-;&quot;-£&quot;* #,##0_-;_-\£* \-_-;_-@_-"/>
    <numFmt numFmtId="198" formatCode="#,##0&quot; mk&quot;;[Red]\-#,##0&quot; mk&quot;"/>
    <numFmt numFmtId="199" formatCode="_-* #,##0\ _m_k_-;\-* #,##0\ _m_k_-;_-* &quot;- &quot;_m_k_-;_-@_-"/>
    <numFmt numFmtId="200" formatCode="m/d"/>
    <numFmt numFmtId="201" formatCode="\ß#,##0;&quot;-ß&quot;#,##0"/>
    <numFmt numFmtId="202" formatCode="&quot;vnd&quot;#,##0_);[Red]&quot;(vnd&quot;#,##0\)"/>
    <numFmt numFmtId="203" formatCode="0.00_)"/>
    <numFmt numFmtId="204" formatCode="_-* #,##0\ _F_B_-;\-* #,##0\ _F_B_-;_-* &quot;- &quot;_F_B_-;_-@_-"/>
    <numFmt numFmtId="205" formatCode="#,##0.00&quot; F&quot;;[Red]\-#,##0.00&quot; F&quot;"/>
    <numFmt numFmtId="206" formatCode="_ * #,##0_ ;_ * \-#,##0_ ;_ * \-_ ;_ @_ "/>
    <numFmt numFmtId="207" formatCode="_-* #,##0&quot; F&quot;_-;\-* #,##0&quot; F&quot;_-;_-* &quot;- F&quot;_-;_-@_-"/>
    <numFmt numFmtId="208" formatCode="#,##0.00_ ;\-#,##0.00\ "/>
    <numFmt numFmtId="209" formatCode="#,##0&quot; F&quot;;[Red]\-#,##0&quot; F&quot;"/>
    <numFmt numFmtId="210" formatCode="#,##0.00&quot; F&quot;;\-#,##0.00&quot; F&quot;"/>
    <numFmt numFmtId="211" formatCode="\$#,##0;&quot;-$&quot;#,##0"/>
    <numFmt numFmtId="212" formatCode="_(\$* #,##0_);_(\$* \(#,##0\);_(\$* \-_);_(@_)"/>
    <numFmt numFmtId="213" formatCode="_(\$* #,##0.00_);_(\$* \(#,##0.00\);_(\$* \-??_);_(@_)"/>
    <numFmt numFmtId="214" formatCode="_ * #,##0.0_)_$_ ;_ * \(#,##0.0\)_$_ ;_ * \-??_)_$_ ;_ @_ "/>
    <numFmt numFmtId="215" formatCode="_ &quot;RM&quot;* #,##0.00_ ;_ &quot;RM&quot;* \-#,##0.00_ ;_ &quot;RM&quot;* \-??_ ;_ @_ "/>
    <numFmt numFmtId="216" formatCode="_ \\* #,##0_ ;_ \\* \-#,##0_ ;_ \\* \-_ ;_ @_ "/>
    <numFmt numFmtId="217" formatCode="\£#,##0;&quot;-£&quot;#,##0"/>
    <numFmt numFmtId="218" formatCode="_-\$* #,##0_-;&quot;-$&quot;* #,##0_-;_-\$* \-_-;_-@_-"/>
    <numFmt numFmtId="219" formatCode="\$#,##0;[Red]&quot;-$&quot;#,##0"/>
    <numFmt numFmtId="220" formatCode="_-\$* #,##0.00_-;&quot;-$&quot;* #,##0.00_-;_-\$* \-??_-;_-@_-"/>
    <numFmt numFmtId="221" formatCode="\\#,##0;[Red]&quot;\\-&quot;#,##0"/>
    <numFmt numFmtId="222" formatCode="\\#,##0.00;[Red]&quot;\\\\\\-&quot;#,##0.00"/>
    <numFmt numFmtId="223" formatCode="\\#,##0.00;[Red]&quot;\-&quot;#,##0.00"/>
    <numFmt numFmtId="224" formatCode="\\#,##0;[Red]&quot;\-&quot;#,##0"/>
    <numFmt numFmtId="225" formatCode="_ * #,##0.00_)_v_n_d_ ;_ * \(#,##0.00\)_v_n_d_ ;_ * \-??_)_v_n_d_ ;_ @_ "/>
    <numFmt numFmtId="226" formatCode="#,##0.0000000000000"/>
    <numFmt numFmtId="227" formatCode="_ * #,##0_ ;_ * \-#,##0_ ;_ * \-??_ ;_ @_ "/>
    <numFmt numFmtId="228" formatCode="_-* #,##0_-;\-* #,##0_-;_-* \-??_-;_-@_-"/>
    <numFmt numFmtId="229" formatCode="_(* #,##0_);_(* \(#,##0\);_(* \-??_);_(@_)"/>
    <numFmt numFmtId="230" formatCode="_ * #,##0.0_ ;_ * \-#,##0.0_ ;_ * \-??_ ;_ @_ "/>
    <numFmt numFmtId="231" formatCode="#,##0.000000"/>
    <numFmt numFmtId="232" formatCode="\(0\)"/>
    <numFmt numFmtId="233" formatCode="_(* #,##0_);_(* \(#,##0\);_(* \-?_);_(@_)"/>
    <numFmt numFmtId="234" formatCode="_(* #,##0.0_);_(* \(#,##0.0\);_(* \-?_);_(@_)"/>
    <numFmt numFmtId="235" formatCode="_-* #,##0.0_-;\-* #,##0.0_-;_-* \-??_-;_-@_-"/>
    <numFmt numFmtId="236" formatCode="#,##0.0000000000_);\(#,##0.0000000000\)"/>
    <numFmt numFmtId="237" formatCode="#,##0.00000000"/>
    <numFmt numFmtId="238" formatCode="#,##0.0"/>
    <numFmt numFmtId="239" formatCode="#,##0\ "/>
    <numFmt numFmtId="240" formatCode="#,##0&quot;  &quot;"/>
    <numFmt numFmtId="241" formatCode="#,###,###,###,###,###"/>
    <numFmt numFmtId="242" formatCode="0.00000000"/>
  </numFmts>
  <fonts count="204">
    <font>
      <sz val="10"/>
      <name val="Arial"/>
      <family val="2"/>
    </font>
    <font>
      <sz val="10"/>
      <name val="Mangal"/>
      <family val="2"/>
    </font>
    <font>
      <sz val="12"/>
      <name val="¹ÙÅÁÃ¼"/>
      <charset val="129"/>
    </font>
    <font>
      <sz val="12"/>
      <name val="±¼¸²Ã¼"/>
      <charset val="129"/>
    </font>
    <font>
      <sz val="11"/>
      <name val="µ¸¿ò"/>
      <charset val="129"/>
    </font>
    <font>
      <sz val="12"/>
      <name val=".VnTime"/>
      <family val="2"/>
      <charset val="1"/>
    </font>
    <font>
      <sz val="14"/>
      <name val="VNTime"/>
      <charset val="1"/>
    </font>
    <font>
      <b/>
      <u/>
      <sz val="14"/>
      <color indexed="8"/>
      <name val=".VnBook-AntiquaH"/>
      <family val="2"/>
      <charset val="1"/>
    </font>
    <font>
      <i/>
      <sz val="12"/>
      <color indexed="8"/>
      <name val=".VnBook-AntiquaH"/>
      <family val="2"/>
      <charset val="1"/>
    </font>
    <font>
      <sz val="11"/>
      <color indexed="8"/>
      <name val="Calibri"/>
      <family val="2"/>
      <charset val="1"/>
    </font>
    <font>
      <sz val="14"/>
      <color indexed="8"/>
      <name val="Times New Roman"/>
      <family val="2"/>
      <charset val="1"/>
    </font>
    <font>
      <b/>
      <sz val="12"/>
      <color indexed="8"/>
      <name val=".VnBook-Antiqua"/>
      <family val="2"/>
      <charset val="1"/>
    </font>
    <font>
      <i/>
      <sz val="12"/>
      <color indexed="8"/>
      <name val=".VnBook-Antiqua"/>
      <family val="2"/>
      <charset val="1"/>
    </font>
    <font>
      <sz val="10"/>
      <name val=".VnTime"/>
      <family val="2"/>
      <charset val="1"/>
    </font>
    <font>
      <sz val="11"/>
      <color indexed="9"/>
      <name val="Calibri"/>
      <family val="2"/>
      <charset val="1"/>
    </font>
    <font>
      <sz val="14"/>
      <color indexed="9"/>
      <name val="Times New Roman"/>
      <family val="2"/>
      <charset val="1"/>
    </font>
    <font>
      <sz val="10"/>
      <name val="Arial"/>
      <family val="2"/>
      <charset val="1"/>
    </font>
    <font>
      <sz val="12"/>
      <name val="Times New Roman"/>
      <family val="1"/>
      <charset val="1"/>
    </font>
    <font>
      <sz val="12"/>
      <name val="|??¢¥¢¬¨Ï"/>
      <family val="1"/>
      <charset val="129"/>
    </font>
    <font>
      <sz val="8"/>
      <name val="Times New Roman"/>
      <family val="1"/>
      <charset val="1"/>
    </font>
    <font>
      <sz val="11"/>
      <color indexed="20"/>
      <name val="Calibri"/>
      <family val="2"/>
      <charset val="1"/>
    </font>
    <font>
      <sz val="11"/>
      <color indexed="10"/>
      <name val="Arial"/>
      <family val="2"/>
      <charset val="1"/>
    </font>
    <font>
      <sz val="12"/>
      <name val=".VnArial Narrow"/>
      <family val="2"/>
      <charset val="1"/>
    </font>
    <font>
      <sz val="12"/>
      <name val="¹UAAA¼"/>
      <family val="3"/>
      <charset val="129"/>
    </font>
    <font>
      <sz val="10"/>
      <name val="MS Sans Serif"/>
      <family val="2"/>
      <charset val="1"/>
    </font>
    <font>
      <b/>
      <sz val="11"/>
      <color indexed="52"/>
      <name val="Calibri"/>
      <family val="2"/>
      <charset val="1"/>
    </font>
    <font>
      <b/>
      <sz val="10"/>
      <name val="Arial"/>
      <family val="2"/>
      <charset val="1"/>
    </font>
    <font>
      <b/>
      <sz val="11"/>
      <color indexed="9"/>
      <name val="Calibri"/>
      <family val="2"/>
      <charset val="1"/>
    </font>
    <font>
      <sz val="11"/>
      <name val="Times New Roman"/>
      <family val="1"/>
      <charset val="1"/>
    </font>
    <font>
      <sz val="11"/>
      <name val="VNI-Times"/>
    </font>
    <font>
      <sz val="10"/>
      <name val="Times New Roman"/>
      <family val="1"/>
      <charset val="1"/>
    </font>
    <font>
      <sz val="10"/>
      <name val="MS Serif"/>
      <family val="1"/>
      <charset val="1"/>
    </font>
    <font>
      <sz val="10"/>
      <name val="±¼¸²A¼"/>
      <family val="3"/>
      <charset val="129"/>
    </font>
    <font>
      <sz val="10"/>
      <color indexed="16"/>
      <name val="MS Serif"/>
      <family val="1"/>
      <charset val="1"/>
    </font>
    <font>
      <i/>
      <sz val="11"/>
      <color indexed="23"/>
      <name val="Calibri"/>
      <family val="2"/>
      <charset val="1"/>
    </font>
    <font>
      <b/>
      <sz val="16"/>
      <color indexed="16"/>
      <name val="VNbritannic"/>
      <family val="2"/>
      <charset val="1"/>
    </font>
    <font>
      <b/>
      <sz val="18"/>
      <color indexed="12"/>
      <name val="VNbritannic"/>
      <family val="2"/>
      <charset val="1"/>
    </font>
    <font>
      <b/>
      <sz val="18"/>
      <name val="VNnew Century Cond"/>
      <family val="2"/>
      <charset val="1"/>
    </font>
    <font>
      <b/>
      <sz val="20"/>
      <color indexed="12"/>
      <name val="VNnew Century Cond"/>
      <family val="2"/>
      <charset val="1"/>
    </font>
    <font>
      <b/>
      <sz val="16"/>
      <name val="VNlucida sans"/>
      <family val="2"/>
      <charset val="1"/>
    </font>
    <font>
      <b/>
      <sz val="18"/>
      <color indexed="10"/>
      <name val="VNnew Century Cond"/>
      <family val="2"/>
      <charset val="1"/>
    </font>
    <font>
      <b/>
      <sz val="14"/>
      <color indexed="14"/>
      <name val="VNottawa"/>
      <family val="2"/>
      <charset val="1"/>
    </font>
    <font>
      <b/>
      <sz val="16"/>
      <color indexed="14"/>
      <name val="VNottawa"/>
      <family val="2"/>
      <charset val="1"/>
    </font>
    <font>
      <sz val="11"/>
      <color indexed="17"/>
      <name val="Calibri"/>
      <family val="2"/>
      <charset val="1"/>
    </font>
    <font>
      <sz val="8"/>
      <name val="Arial"/>
      <family val="2"/>
      <charset val="1"/>
    </font>
    <font>
      <sz val="8"/>
      <name val="Arial"/>
      <family val="2"/>
      <charset val="163"/>
    </font>
    <font>
      <sz val="10"/>
      <name val=".VnArialH"/>
      <family val="2"/>
      <charset val="1"/>
    </font>
    <font>
      <b/>
      <sz val="12"/>
      <color indexed="9"/>
      <name val="Times New Roman"/>
      <family val="1"/>
      <charset val="1"/>
    </font>
    <font>
      <b/>
      <sz val="12"/>
      <name val="Arial"/>
      <family val="2"/>
      <charset val="1"/>
    </font>
    <font>
      <b/>
      <sz val="18"/>
      <name val="Arial"/>
      <family val="2"/>
      <charset val="1"/>
    </font>
    <font>
      <b/>
      <sz val="11"/>
      <color indexed="56"/>
      <name val="Calibri"/>
      <family val="2"/>
      <charset val="1"/>
    </font>
    <font>
      <b/>
      <sz val="8"/>
      <name val="MS Sans Serif"/>
      <family val="2"/>
      <charset val="1"/>
    </font>
    <font>
      <b/>
      <sz val="14"/>
      <name val=".VnTimeH"/>
      <family val="2"/>
      <charset val="1"/>
    </font>
    <font>
      <u/>
      <sz val="12"/>
      <color indexed="12"/>
      <name val="VNI-Times"/>
    </font>
    <font>
      <u/>
      <sz val="12"/>
      <color indexed="12"/>
      <name val="Times New Roman"/>
      <family val="1"/>
      <charset val="1"/>
    </font>
    <font>
      <sz val="11"/>
      <color indexed="62"/>
      <name val="Calibri"/>
      <family val="2"/>
      <charset val="1"/>
    </font>
    <font>
      <sz val="16"/>
      <name val="VNI-Times"/>
    </font>
    <font>
      <b/>
      <sz val="14"/>
      <color indexed="9"/>
      <name val="Times New Roman"/>
      <family val="2"/>
      <charset val="1"/>
    </font>
    <font>
      <sz val="11"/>
      <color indexed="52"/>
      <name val="Calibri"/>
      <family val="2"/>
      <charset val="1"/>
    </font>
    <font>
      <i/>
      <sz val="10"/>
      <name val=".VnTime"/>
      <family val="2"/>
      <charset val="1"/>
    </font>
    <font>
      <b/>
      <sz val="10"/>
      <name val=".VnArial"/>
      <family val="2"/>
      <charset val="1"/>
    </font>
    <font>
      <b/>
      <sz val="10"/>
      <name val=".VnTime"/>
      <family val="2"/>
      <charset val="1"/>
    </font>
    <font>
      <b/>
      <sz val="11"/>
      <name val="Arial"/>
      <family val="2"/>
      <charset val="1"/>
    </font>
    <font>
      <sz val="11"/>
      <color indexed="60"/>
      <name val="Calibri"/>
      <family val="2"/>
      <charset val="1"/>
    </font>
    <font>
      <sz val="7"/>
      <name val="Small Fonts"/>
      <family val="2"/>
      <charset val="1"/>
    </font>
    <font>
      <sz val="10"/>
      <name val="VNtimes new roman"/>
      <family val="2"/>
      <charset val="1"/>
    </font>
    <font>
      <b/>
      <i/>
      <sz val="16"/>
      <name val="Arial"/>
      <family val="2"/>
      <charset val="1"/>
    </font>
    <font>
      <sz val="12"/>
      <name val="VNI-Times"/>
    </font>
    <font>
      <sz val="14"/>
      <name val="Times New Roman"/>
      <family val="1"/>
      <charset val="1"/>
    </font>
    <font>
      <sz val="13"/>
      <name val="Times New Roman"/>
      <family val="1"/>
      <charset val="1"/>
    </font>
    <font>
      <sz val="10"/>
      <name val="Arial"/>
      <family val="2"/>
      <charset val="163"/>
    </font>
    <font>
      <sz val="13"/>
      <name val="VNI-Times"/>
    </font>
    <font>
      <sz val="11"/>
      <color indexed="8"/>
      <name val="Arial"/>
      <family val="2"/>
      <charset val="1"/>
    </font>
    <font>
      <sz val="12"/>
      <name val="VN-NTime"/>
    </font>
    <font>
      <sz val="10"/>
      <name val="VNI-Times"/>
    </font>
    <font>
      <sz val="10"/>
      <color indexed="8"/>
      <name val="Arial"/>
      <family val="2"/>
      <charset val="1"/>
    </font>
    <font>
      <sz val="11"/>
      <color indexed="8"/>
      <name val="Arial"/>
      <family val="2"/>
      <charset val="163"/>
    </font>
    <font>
      <sz val="10"/>
      <name val="Arial CE"/>
      <family val="2"/>
      <charset val="238"/>
    </font>
    <font>
      <sz val="13"/>
      <name val=".VnTime"/>
      <family val="2"/>
      <charset val="1"/>
    </font>
    <font>
      <b/>
      <sz val="11"/>
      <color indexed="63"/>
      <name val="Calibri"/>
      <family val="2"/>
      <charset val="1"/>
    </font>
    <font>
      <b/>
      <sz val="12"/>
      <color indexed="8"/>
      <name val="Arial"/>
      <family val="2"/>
      <charset val="1"/>
    </font>
    <font>
      <b/>
      <i/>
      <sz val="12"/>
      <color indexed="8"/>
      <name val="Arial"/>
      <family val="2"/>
      <charset val="1"/>
    </font>
    <font>
      <sz val="12"/>
      <color indexed="8"/>
      <name val="Arial"/>
      <family val="2"/>
      <charset val="1"/>
    </font>
    <font>
      <i/>
      <sz val="12"/>
      <color indexed="8"/>
      <name val="Arial"/>
      <family val="2"/>
      <charset val="1"/>
    </font>
    <font>
      <sz val="19"/>
      <color indexed="48"/>
      <name val="Arial"/>
      <family val="2"/>
      <charset val="1"/>
    </font>
    <font>
      <sz val="12"/>
      <color indexed="14"/>
      <name val="Arial"/>
      <family val="2"/>
      <charset val="1"/>
    </font>
    <font>
      <sz val="8"/>
      <name val="MS Sans Serif"/>
      <family val="2"/>
      <charset val="1"/>
    </font>
    <font>
      <b/>
      <sz val="10.5"/>
      <name val=".VnAvantH"/>
      <family val="2"/>
      <charset val="1"/>
    </font>
    <font>
      <b/>
      <sz val="8"/>
      <color indexed="8"/>
      <name val="Arial"/>
      <family val="2"/>
      <charset val="1"/>
    </font>
    <font>
      <sz val="13"/>
      <name val=".VnArial"/>
      <family val="2"/>
      <charset val="1"/>
    </font>
    <font>
      <sz val="10"/>
      <name val=".VnArial"/>
      <family val="2"/>
      <charset val="1"/>
    </font>
    <font>
      <sz val="11"/>
      <name val=".VnAvant"/>
      <family val="2"/>
      <charset val="1"/>
    </font>
    <font>
      <b/>
      <sz val="13"/>
      <color indexed="8"/>
      <name val=".VnTimeH"/>
      <family val="2"/>
      <charset val="1"/>
    </font>
    <font>
      <sz val="9.5"/>
      <name val=".VnBlackH"/>
      <family val="2"/>
      <charset val="1"/>
    </font>
    <font>
      <b/>
      <sz val="10"/>
      <name val=".VnBahamasBH"/>
      <family val="2"/>
      <charset val="1"/>
    </font>
    <font>
      <b/>
      <sz val="11"/>
      <name val=".VnArialH"/>
      <family val="2"/>
      <charset val="1"/>
    </font>
    <font>
      <b/>
      <sz val="18"/>
      <color indexed="56"/>
      <name val="Cambria"/>
      <family val="2"/>
      <charset val="1"/>
    </font>
    <font>
      <b/>
      <sz val="10"/>
      <name val=".VnTimeH"/>
      <family val="2"/>
      <charset val="1"/>
    </font>
    <font>
      <b/>
      <sz val="11"/>
      <name val=".VnTimeH"/>
      <family val="2"/>
      <charset val="1"/>
    </font>
    <font>
      <b/>
      <sz val="10"/>
      <name val=".VnArialH"/>
      <family val="2"/>
      <charset val="1"/>
    </font>
    <font>
      <sz val="14"/>
      <color indexed="60"/>
      <name val="Times New Roman"/>
      <family val="2"/>
      <charset val="1"/>
    </font>
    <font>
      <sz val="10"/>
      <name val=".VnArial Narrow"/>
      <family val="2"/>
      <charset val="1"/>
    </font>
    <font>
      <b/>
      <sz val="14"/>
      <color indexed="52"/>
      <name val="Times New Roman"/>
      <family val="2"/>
      <charset val="1"/>
    </font>
    <font>
      <sz val="14"/>
      <color indexed="17"/>
      <name val="Times New Roman"/>
      <family val="2"/>
      <charset val="1"/>
    </font>
    <font>
      <b/>
      <sz val="14"/>
      <color indexed="8"/>
      <name val="Times New Roman"/>
      <family val="2"/>
      <charset val="1"/>
    </font>
    <font>
      <sz val="12"/>
      <name val="VNtimes new roman"/>
      <family val="2"/>
      <charset val="1"/>
    </font>
    <font>
      <sz val="14"/>
      <name val="VnTime"/>
      <family val="2"/>
      <charset val="1"/>
    </font>
    <font>
      <b/>
      <sz val="12"/>
      <name val=".VnTime"/>
      <family val="2"/>
      <charset val="1"/>
    </font>
    <font>
      <b/>
      <sz val="10"/>
      <name val="VN Helvetica"/>
      <charset val="1"/>
    </font>
    <font>
      <sz val="10"/>
      <name val="VN Helvetica"/>
      <charset val="1"/>
    </font>
    <font>
      <sz val="14"/>
      <color indexed="10"/>
      <name val="Times New Roman"/>
      <family val="2"/>
      <charset val="1"/>
    </font>
    <font>
      <i/>
      <sz val="14"/>
      <color indexed="23"/>
      <name val="Times New Roman"/>
      <family val="2"/>
      <charset val="1"/>
    </font>
    <font>
      <sz val="11"/>
      <color indexed="10"/>
      <name val="Calibri"/>
      <family val="2"/>
      <charset val="1"/>
    </font>
    <font>
      <sz val="14"/>
      <name val=".VnArial"/>
      <family val="2"/>
      <charset val="1"/>
    </font>
    <font>
      <sz val="14"/>
      <color indexed="20"/>
      <name val="Times New Roman"/>
      <family val="2"/>
      <charset val="1"/>
    </font>
    <font>
      <sz val="12"/>
      <color indexed="8"/>
      <name val="¹ÙÅÁÃ¼"/>
      <family val="1"/>
      <charset val="129"/>
    </font>
    <font>
      <sz val="14"/>
      <color indexed="52"/>
      <name val="Times New Roman"/>
      <family val="2"/>
      <charset val="1"/>
    </font>
    <font>
      <sz val="12"/>
      <name val="VNTime"/>
      <charset val="1"/>
    </font>
    <font>
      <b/>
      <sz val="14"/>
      <color indexed="63"/>
      <name val="Times New Roman"/>
      <family val="2"/>
      <charset val="1"/>
    </font>
    <font>
      <sz val="14"/>
      <color indexed="62"/>
      <name val="Times New Roman"/>
      <family val="2"/>
      <charset val="1"/>
    </font>
    <font>
      <b/>
      <sz val="15"/>
      <color indexed="56"/>
      <name val="Times New Roman"/>
      <family val="2"/>
      <charset val="1"/>
    </font>
    <font>
      <b/>
      <sz val="13"/>
      <color indexed="56"/>
      <name val="Times New Roman"/>
      <family val="2"/>
      <charset val="1"/>
    </font>
    <font>
      <b/>
      <sz val="11"/>
      <color indexed="56"/>
      <name val="Times New Roman"/>
      <family val="2"/>
      <charset val="1"/>
    </font>
    <font>
      <sz val="11"/>
      <name val="–¾’©"/>
      <family val="1"/>
      <charset val="128"/>
    </font>
    <font>
      <sz val="12"/>
      <name val="Arial"/>
      <family val="2"/>
      <charset val="1"/>
    </font>
    <font>
      <sz val="11"/>
      <name val="ＭＳ 明朝"/>
      <family val="1"/>
      <charset val="128"/>
    </font>
    <font>
      <sz val="12"/>
      <name val="뼻뮝"/>
      <family val="1"/>
      <charset val="129"/>
    </font>
    <font>
      <sz val="12"/>
      <name val="바탕체"/>
      <family val="1"/>
      <charset val="129"/>
    </font>
    <font>
      <sz val="10"/>
      <name val="굴림체"/>
      <family val="3"/>
      <charset val="129"/>
    </font>
    <font>
      <sz val="10"/>
      <name val="돋움체"/>
      <family val="3"/>
      <charset val="129"/>
    </font>
    <font>
      <i/>
      <sz val="12"/>
      <name val="Times New Roman"/>
      <family val="1"/>
      <charset val="1"/>
    </font>
    <font>
      <b/>
      <sz val="15"/>
      <name val="Times New Roman"/>
      <family val="1"/>
      <charset val="1"/>
    </font>
    <font>
      <b/>
      <sz val="10"/>
      <name val="Times New Roman"/>
      <family val="1"/>
      <charset val="1"/>
    </font>
    <font>
      <sz val="9.5"/>
      <name val="Times New Roman"/>
      <family val="1"/>
      <charset val="1"/>
    </font>
    <font>
      <b/>
      <sz val="9"/>
      <color indexed="8"/>
      <name val="Tahoma"/>
      <family val="2"/>
      <charset val="1"/>
    </font>
    <font>
      <sz val="9"/>
      <color indexed="8"/>
      <name val="Tahoma"/>
      <family val="2"/>
      <charset val="1"/>
    </font>
    <font>
      <sz val="9"/>
      <name val="Times New Roman"/>
      <family val="1"/>
      <charset val="1"/>
    </font>
    <font>
      <b/>
      <u/>
      <sz val="10"/>
      <name val="Times New Roman"/>
      <family val="1"/>
      <charset val="1"/>
    </font>
    <font>
      <i/>
      <sz val="10"/>
      <name val="Times New Roman"/>
      <family val="1"/>
      <charset val="1"/>
    </font>
    <font>
      <b/>
      <i/>
      <u/>
      <sz val="10"/>
      <name val="Times New Roman"/>
      <family val="1"/>
      <charset val="1"/>
    </font>
    <font>
      <b/>
      <i/>
      <sz val="10"/>
      <name val="Times New Roman"/>
      <family val="1"/>
      <charset val="1"/>
    </font>
    <font>
      <b/>
      <sz val="9.5"/>
      <name val="Times New Roman"/>
      <family val="1"/>
      <charset val="1"/>
    </font>
    <font>
      <b/>
      <sz val="12"/>
      <name val="Times New Roman"/>
      <family val="1"/>
      <charset val="1"/>
    </font>
    <font>
      <b/>
      <sz val="11"/>
      <name val="Times New Roman"/>
      <family val="1"/>
      <charset val="1"/>
    </font>
    <font>
      <b/>
      <sz val="14"/>
      <name val="Times New Roman"/>
      <family val="1"/>
      <charset val="1"/>
    </font>
    <font>
      <sz val="12"/>
      <color indexed="10"/>
      <name val="Times New Roman"/>
      <family val="1"/>
      <charset val="1"/>
    </font>
    <font>
      <sz val="12"/>
      <color indexed="9"/>
      <name val="Times New Roman"/>
      <family val="1"/>
      <charset val="1"/>
    </font>
    <font>
      <i/>
      <sz val="13"/>
      <name val="Times New Roman"/>
      <family val="1"/>
      <charset val="1"/>
    </font>
    <font>
      <i/>
      <sz val="10"/>
      <color indexed="9"/>
      <name val="Times New Roman"/>
      <family val="1"/>
      <charset val="1"/>
    </font>
    <font>
      <b/>
      <sz val="9"/>
      <name val="Times New Roman"/>
      <family val="1"/>
      <charset val="1"/>
    </font>
    <font>
      <b/>
      <sz val="7"/>
      <name val="Times New Roman"/>
      <family val="1"/>
      <charset val="1"/>
    </font>
    <font>
      <i/>
      <sz val="11"/>
      <name val="Times New Roman"/>
      <family val="1"/>
      <charset val="1"/>
    </font>
    <font>
      <b/>
      <sz val="10.5"/>
      <name val="Times New Roman"/>
      <family val="1"/>
      <charset val="1"/>
    </font>
    <font>
      <b/>
      <sz val="13"/>
      <name val="Times New Roman"/>
      <family val="1"/>
      <charset val="1"/>
    </font>
    <font>
      <b/>
      <i/>
      <sz val="11"/>
      <name val="Times New Roman"/>
      <family val="1"/>
      <charset val="1"/>
    </font>
    <font>
      <sz val="8"/>
      <color indexed="8"/>
      <name val="Tahoma"/>
      <family val="2"/>
      <charset val="1"/>
    </font>
    <font>
      <b/>
      <sz val="8"/>
      <color indexed="8"/>
      <name val="Tahoma"/>
      <family val="2"/>
      <charset val="1"/>
    </font>
    <font>
      <b/>
      <i/>
      <sz val="12"/>
      <name val="Times New Roman"/>
      <family val="1"/>
      <charset val="1"/>
    </font>
    <font>
      <i/>
      <sz val="12"/>
      <color indexed="10"/>
      <name val="Times New Roman"/>
      <family val="1"/>
      <charset val="1"/>
    </font>
    <font>
      <b/>
      <sz val="8"/>
      <name val="Times New Roman"/>
      <family val="1"/>
      <charset val="1"/>
    </font>
    <font>
      <sz val="8"/>
      <name val="Arial"/>
      <family val="2"/>
    </font>
    <font>
      <b/>
      <sz val="12"/>
      <name val="Times New Roman"/>
      <family val="1"/>
    </font>
    <font>
      <sz val="12"/>
      <name val="Times New Roman"/>
      <family val="1"/>
    </font>
    <font>
      <i/>
      <sz val="12"/>
      <name val="Times New Roman"/>
      <family val="1"/>
    </font>
    <font>
      <sz val="12"/>
      <color rgb="FFFF0000"/>
      <name val="Times New Roman"/>
      <family val="1"/>
      <charset val="1"/>
    </font>
    <font>
      <sz val="9"/>
      <color indexed="81"/>
      <name val="Tahoma"/>
      <family val="2"/>
    </font>
    <font>
      <b/>
      <sz val="9"/>
      <color indexed="81"/>
      <name val="Tahoma"/>
      <family val="2"/>
    </font>
    <font>
      <sz val="13"/>
      <color theme="1"/>
      <name val="Times New Roman"/>
      <family val="1"/>
      <charset val="163"/>
    </font>
    <font>
      <sz val="13"/>
      <name val="Times New Roman"/>
      <family val="1"/>
    </font>
    <font>
      <b/>
      <sz val="12"/>
      <color theme="1"/>
      <name val="Times New Roman"/>
      <family val="1"/>
      <charset val="163"/>
    </font>
    <font>
      <sz val="12"/>
      <color theme="1"/>
      <name val="Times New Roman"/>
      <family val="1"/>
      <charset val="163"/>
    </font>
    <font>
      <sz val="11"/>
      <color theme="1"/>
      <name val="Times New Roman"/>
      <family val="1"/>
      <charset val="163"/>
    </font>
    <font>
      <i/>
      <sz val="12"/>
      <color theme="1"/>
      <name val="Times New Roman"/>
      <family val="1"/>
      <charset val="163"/>
    </font>
    <font>
      <sz val="12"/>
      <color theme="1"/>
      <name val="Times New Roman"/>
      <family val="1"/>
    </font>
    <font>
      <i/>
      <sz val="13"/>
      <name val="Times New Roman"/>
      <family val="1"/>
    </font>
    <font>
      <b/>
      <sz val="14"/>
      <color theme="1"/>
      <name val="Times New Roman"/>
      <family val="1"/>
      <charset val="163"/>
    </font>
    <font>
      <sz val="13"/>
      <color theme="1"/>
      <name val="Times New Roman"/>
      <family val="1"/>
    </font>
    <font>
      <b/>
      <sz val="12"/>
      <color theme="1"/>
      <name val="Times New Roman"/>
      <family val="1"/>
    </font>
    <font>
      <b/>
      <sz val="11"/>
      <color theme="1"/>
      <name val="Times New Roman"/>
      <family val="1"/>
    </font>
    <font>
      <b/>
      <sz val="13"/>
      <color theme="1"/>
      <name val="Times New Roman"/>
      <family val="1"/>
      <charset val="163"/>
    </font>
    <font>
      <i/>
      <sz val="13"/>
      <color theme="1"/>
      <name val="Times New Roman"/>
      <family val="1"/>
    </font>
    <font>
      <b/>
      <sz val="13"/>
      <color theme="1"/>
      <name val="Times New Roman"/>
      <family val="1"/>
    </font>
    <font>
      <sz val="8"/>
      <name val="Times New Roman"/>
      <family val="1"/>
    </font>
    <font>
      <b/>
      <sz val="8"/>
      <name val="Times New Roman"/>
      <family val="1"/>
    </font>
    <font>
      <b/>
      <sz val="14"/>
      <name val="Times New Roman"/>
      <family val="1"/>
    </font>
    <font>
      <i/>
      <sz val="8"/>
      <name val="Times New Roman"/>
      <family val="1"/>
    </font>
    <font>
      <b/>
      <i/>
      <sz val="8"/>
      <name val="Times New Roman"/>
      <family val="1"/>
    </font>
    <font>
      <sz val="10"/>
      <name val="Times New Roman"/>
      <family val="1"/>
    </font>
    <font>
      <b/>
      <sz val="13"/>
      <name val="Times New Roman"/>
      <family val="1"/>
    </font>
    <font>
      <b/>
      <sz val="10"/>
      <name val="Times New Roman"/>
      <family val="1"/>
    </font>
    <font>
      <i/>
      <sz val="9"/>
      <name val="Times New Roman"/>
      <family val="1"/>
      <charset val="1"/>
    </font>
    <font>
      <b/>
      <sz val="11"/>
      <name val="Times New Roman"/>
      <family val="1"/>
    </font>
    <font>
      <i/>
      <sz val="12"/>
      <color indexed="9"/>
      <name val="Times New Roman"/>
      <family val="1"/>
    </font>
    <font>
      <b/>
      <sz val="12"/>
      <color indexed="9"/>
      <name val="Times New Roman"/>
      <family val="1"/>
    </font>
    <font>
      <b/>
      <i/>
      <sz val="10"/>
      <name val="Times New Roman"/>
      <family val="1"/>
    </font>
    <font>
      <sz val="11"/>
      <name val="Times New Roman"/>
      <family val="1"/>
    </font>
    <font>
      <i/>
      <sz val="11"/>
      <name val="Times New Roman"/>
      <family val="1"/>
    </font>
    <font>
      <b/>
      <i/>
      <sz val="11"/>
      <name val="Times New Roman"/>
      <family val="1"/>
    </font>
    <font>
      <i/>
      <sz val="10"/>
      <name val="Times New Roman"/>
      <family val="1"/>
    </font>
    <font>
      <sz val="13"/>
      <color rgb="FFFF0000"/>
      <name val="Times New Roman"/>
      <family val="1"/>
    </font>
    <font>
      <sz val="7"/>
      <name val="Times New Roman"/>
      <family val="1"/>
    </font>
    <font>
      <b/>
      <sz val="7"/>
      <name val="Times New Roman"/>
      <family val="1"/>
    </font>
    <font>
      <i/>
      <sz val="7"/>
      <name val="Times New Roman"/>
      <family val="1"/>
    </font>
    <font>
      <b/>
      <i/>
      <sz val="7"/>
      <name val="Times New Roman"/>
      <family val="1"/>
    </font>
  </fonts>
  <fills count="38">
    <fill>
      <patternFill patternType="none"/>
    </fill>
    <fill>
      <patternFill patternType="gray125"/>
    </fill>
    <fill>
      <patternFill patternType="solid">
        <fgColor indexed="22"/>
        <bgColor indexed="31"/>
      </patternFill>
    </fill>
    <fill>
      <patternFill patternType="solid">
        <fgColor indexed="31"/>
        <bgColor indexed="15"/>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1"/>
      </patternFill>
    </fill>
    <fill>
      <patternFill patternType="solid">
        <fgColor indexed="47"/>
        <bgColor indexed="15"/>
      </patternFill>
    </fill>
    <fill>
      <patternFill patternType="solid">
        <fgColor indexed="44"/>
        <bgColor indexed="24"/>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3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26"/>
        <bgColor indexed="9"/>
      </patternFill>
    </fill>
    <fill>
      <patternFill patternType="solid">
        <fgColor indexed="9"/>
        <bgColor indexed="26"/>
      </patternFill>
    </fill>
    <fill>
      <patternFill patternType="solid">
        <fgColor indexed="8"/>
        <bgColor indexed="58"/>
      </patternFill>
    </fill>
    <fill>
      <patternFill patternType="solid">
        <fgColor indexed="43"/>
        <bgColor indexed="26"/>
      </patternFill>
    </fill>
    <fill>
      <patternFill patternType="solid">
        <fgColor indexed="19"/>
        <bgColor indexed="23"/>
      </patternFill>
    </fill>
    <fill>
      <patternFill patternType="solid">
        <fgColor indexed="54"/>
        <bgColor indexed="19"/>
      </patternFill>
    </fill>
    <fill>
      <patternFill patternType="solid">
        <fgColor indexed="50"/>
        <bgColor indexed="51"/>
      </patternFill>
    </fill>
    <fill>
      <patternFill patternType="solid">
        <fgColor indexed="21"/>
        <bgColor indexed="30"/>
      </patternFill>
    </fill>
    <fill>
      <patternFill patternType="solid">
        <fgColor indexed="24"/>
        <bgColor indexed="44"/>
      </patternFill>
    </fill>
    <fill>
      <patternFill patternType="solid">
        <fgColor indexed="40"/>
        <bgColor indexed="49"/>
      </patternFill>
    </fill>
    <fill>
      <patternFill patternType="solid">
        <fgColor indexed="15"/>
        <bgColor indexed="31"/>
      </patternFill>
    </fill>
    <fill>
      <patternFill patternType="solid">
        <fgColor indexed="41"/>
        <bgColor indexed="27"/>
      </patternFill>
    </fill>
    <fill>
      <patternFill patternType="solid">
        <fgColor indexed="13"/>
        <bgColor indexed="51"/>
      </patternFill>
    </fill>
    <fill>
      <patternFill patternType="solid">
        <fgColor indexed="34"/>
        <bgColor indexed="51"/>
      </patternFill>
    </fill>
    <fill>
      <patternFill patternType="solid">
        <fgColor rgb="FFFFFF00"/>
        <bgColor indexed="64"/>
      </patternFill>
    </fill>
    <fill>
      <patternFill patternType="solid">
        <fgColor theme="0"/>
        <bgColor indexed="64"/>
      </patternFill>
    </fill>
  </fills>
  <borders count="6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indexed="8"/>
      </top>
      <bottom style="medium">
        <color indexed="8"/>
      </bottom>
      <diagonal/>
    </border>
    <border>
      <left/>
      <right/>
      <top style="thin">
        <color indexed="8"/>
      </top>
      <bottom style="thin">
        <color indexed="8"/>
      </bottom>
      <diagonal/>
    </border>
    <border>
      <left/>
      <right/>
      <top/>
      <bottom style="medium">
        <color indexed="8"/>
      </bottom>
      <diagonal/>
    </border>
    <border>
      <left/>
      <right/>
      <top/>
      <bottom style="double">
        <color indexed="52"/>
      </bottom>
      <diagonal/>
    </border>
    <border>
      <left style="thin">
        <color indexed="8"/>
      </left>
      <right style="thin">
        <color indexed="8"/>
      </right>
      <top/>
      <bottom/>
      <diagonal/>
    </border>
    <border>
      <left style="thin">
        <color indexed="8"/>
      </left>
      <right style="thin">
        <color indexed="8"/>
      </right>
      <top style="thin">
        <color indexed="8"/>
      </top>
      <bottom style="hair">
        <color indexed="8"/>
      </bottom>
      <diagonal/>
    </border>
    <border>
      <left style="thin">
        <color indexed="48"/>
      </left>
      <right style="thin">
        <color indexed="48"/>
      </right>
      <top style="thin">
        <color indexed="48"/>
      </top>
      <bottom style="thin">
        <color indexed="48"/>
      </bottom>
      <diagonal/>
    </border>
    <border>
      <left style="thin">
        <color indexed="27"/>
      </left>
      <right style="thin">
        <color indexed="48"/>
      </right>
      <top style="medium">
        <color indexed="27"/>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right style="medium">
        <color indexed="8"/>
      </right>
      <top/>
      <bottom/>
      <diagonal/>
    </border>
    <border>
      <left/>
      <right/>
      <top style="thin">
        <color indexed="62"/>
      </top>
      <bottom style="double">
        <color indexed="62"/>
      </bottom>
      <diagonal/>
    </border>
    <border>
      <left style="thin">
        <color indexed="8"/>
      </left>
      <right style="thin">
        <color indexed="8"/>
      </right>
      <top style="hair">
        <color indexed="8"/>
      </top>
      <bottom style="hair">
        <color indexed="8"/>
      </bottom>
      <diagonal/>
    </border>
    <border>
      <left/>
      <right/>
      <top style="double">
        <color indexed="8"/>
      </top>
      <bottom/>
      <diagonal/>
    </border>
    <border>
      <left style="hair">
        <color indexed="8"/>
      </left>
      <right/>
      <top/>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diagonal/>
    </border>
    <border>
      <left style="hair">
        <color indexed="13"/>
      </left>
      <right style="hair">
        <color indexed="13"/>
      </right>
      <top style="hair">
        <color indexed="13"/>
      </top>
      <bottom style="hair">
        <color indexed="13"/>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style="thin">
        <color indexed="8"/>
      </right>
      <top/>
      <bottom style="double">
        <color indexed="8"/>
      </bottom>
      <diagonal/>
    </border>
    <border>
      <left style="thin">
        <color indexed="8"/>
      </left>
      <right/>
      <top/>
      <bottom style="double">
        <color indexed="8"/>
      </bottom>
      <diagonal/>
    </border>
    <border>
      <left style="thin">
        <color indexed="8"/>
      </left>
      <right style="double">
        <color indexed="8"/>
      </right>
      <top/>
      <bottom style="double">
        <color indexed="8"/>
      </bottom>
      <diagonal/>
    </border>
    <border>
      <left style="double">
        <color indexed="8"/>
      </left>
      <right style="thin">
        <color indexed="8"/>
      </right>
      <top style="double">
        <color indexed="8"/>
      </top>
      <bottom style="hair">
        <color indexed="8"/>
      </bottom>
      <diagonal/>
    </border>
    <border>
      <left style="thin">
        <color indexed="8"/>
      </left>
      <right style="thin">
        <color indexed="8"/>
      </right>
      <top style="double">
        <color indexed="8"/>
      </top>
      <bottom style="hair">
        <color indexed="8"/>
      </bottom>
      <diagonal/>
    </border>
    <border>
      <left style="thin">
        <color indexed="8"/>
      </left>
      <right style="double">
        <color indexed="8"/>
      </right>
      <top style="double">
        <color indexed="8"/>
      </top>
      <bottom style="hair">
        <color indexed="8"/>
      </bottom>
      <diagonal/>
    </border>
    <border>
      <left/>
      <right style="thin">
        <color indexed="8"/>
      </right>
      <top/>
      <bottom style="hair">
        <color indexed="8"/>
      </bottom>
      <diagonal/>
    </border>
    <border>
      <left style="thin">
        <color indexed="8"/>
      </left>
      <right style="thin">
        <color indexed="8"/>
      </right>
      <top/>
      <bottom style="hair">
        <color indexed="8"/>
      </bottom>
      <diagonal/>
    </border>
    <border>
      <left style="thin">
        <color indexed="8"/>
      </left>
      <right style="double">
        <color indexed="8"/>
      </right>
      <top/>
      <bottom style="hair">
        <color indexed="8"/>
      </bottom>
      <diagonal/>
    </border>
    <border>
      <left style="double">
        <color indexed="8"/>
      </left>
      <right style="thin">
        <color indexed="8"/>
      </right>
      <top style="hair">
        <color indexed="8"/>
      </top>
      <bottom style="hair">
        <color indexed="8"/>
      </bottom>
      <diagonal/>
    </border>
    <border>
      <left style="thin">
        <color indexed="8"/>
      </left>
      <right style="double">
        <color indexed="8"/>
      </right>
      <top style="hair">
        <color indexed="8"/>
      </top>
      <bottom style="hair">
        <color indexed="8"/>
      </bottom>
      <diagonal/>
    </border>
    <border>
      <left/>
      <right style="thin">
        <color indexed="8"/>
      </right>
      <top style="hair">
        <color indexed="8"/>
      </top>
      <bottom style="hair">
        <color indexed="8"/>
      </bottom>
      <diagonal/>
    </border>
    <border>
      <left style="double">
        <color indexed="8"/>
      </left>
      <right style="thin">
        <color indexed="8"/>
      </right>
      <top style="hair">
        <color indexed="8"/>
      </top>
      <bottom/>
      <diagonal/>
    </border>
    <border>
      <left style="thin">
        <color indexed="8"/>
      </left>
      <right style="thin">
        <color indexed="8"/>
      </right>
      <top style="hair">
        <color indexed="8"/>
      </top>
      <bottom/>
      <diagonal/>
    </border>
    <border>
      <left style="thin">
        <color indexed="8"/>
      </left>
      <right style="double">
        <color indexed="8"/>
      </right>
      <top style="hair">
        <color indexed="8"/>
      </top>
      <bottom/>
      <diagonal/>
    </border>
    <border>
      <left style="double">
        <color indexed="8"/>
      </left>
      <right style="thin">
        <color indexed="8"/>
      </right>
      <top/>
      <bottom/>
      <diagonal/>
    </border>
    <border>
      <left style="thin">
        <color indexed="8"/>
      </left>
      <right style="thin">
        <color indexed="8"/>
      </right>
      <top style="hair">
        <color indexed="8"/>
      </top>
      <bottom style="thin">
        <color indexed="8"/>
      </bottom>
      <diagonal/>
    </border>
    <border>
      <left style="thin">
        <color indexed="8"/>
      </left>
      <right style="double">
        <color indexed="8"/>
      </right>
      <top style="hair">
        <color indexed="8"/>
      </top>
      <bottom style="thin">
        <color indexed="8"/>
      </bottom>
      <diagonal/>
    </border>
    <border>
      <left style="double">
        <color indexed="8"/>
      </left>
      <right style="thin">
        <color indexed="8"/>
      </right>
      <top style="hair">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double">
        <color indexed="8"/>
      </left>
      <right style="thin">
        <color indexed="8"/>
      </right>
      <top style="double">
        <color indexed="8"/>
      </top>
      <bottom style="double">
        <color indexed="8"/>
      </bottom>
      <diagonal/>
    </border>
    <border>
      <left style="thin">
        <color indexed="8"/>
      </left>
      <right style="thin">
        <color indexed="8"/>
      </right>
      <top style="double">
        <color indexed="8"/>
      </top>
      <bottom style="double">
        <color indexed="8"/>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8"/>
      </right>
      <top style="thin">
        <color indexed="8"/>
      </top>
      <bottom style="hair">
        <color indexed="8"/>
      </bottom>
      <diagonal/>
    </border>
    <border>
      <left/>
      <right style="thin">
        <color indexed="8"/>
      </right>
      <top style="hair">
        <color indexed="8"/>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8"/>
      </right>
      <top style="hair">
        <color indexed="8"/>
      </top>
      <bottom style="thin">
        <color indexed="8"/>
      </bottom>
      <diagonal/>
    </border>
  </borders>
  <cellStyleXfs count="533">
    <xf numFmtId="0" fontId="0" fillId="0" borderId="0"/>
    <xf numFmtId="166" fontId="1" fillId="0" borderId="0" applyFill="0" applyBorder="0" applyAlignment="0" applyProtection="0"/>
    <xf numFmtId="0" fontId="5" fillId="0" borderId="0" applyNumberFormat="0" applyFill="0" applyBorder="0" applyAlignment="0" applyProtection="0"/>
    <xf numFmtId="167" fontId="1" fillId="0" borderId="0" applyFill="0" applyBorder="0" applyAlignment="0" applyProtection="0"/>
    <xf numFmtId="168" fontId="1" fillId="0" borderId="0" applyFill="0" applyBorder="0" applyAlignment="0" applyProtection="0"/>
    <xf numFmtId="0" fontId="1" fillId="0" borderId="0" applyFill="0" applyBorder="0" applyAlignment="0" applyProtection="0"/>
    <xf numFmtId="170" fontId="1" fillId="0" borderId="0" applyFill="0" applyBorder="0" applyAlignment="0" applyProtection="0"/>
    <xf numFmtId="171" fontId="1" fillId="0" borderId="0" applyFill="0" applyBorder="0" applyAlignment="0" applyProtection="0"/>
    <xf numFmtId="169" fontId="1" fillId="0" borderId="0" applyFill="0" applyBorder="0" applyAlignment="0" applyProtection="0"/>
    <xf numFmtId="169" fontId="1" fillId="0" borderId="0" applyFill="0" applyBorder="0" applyAlignment="0" applyProtection="0"/>
    <xf numFmtId="0" fontId="16" fillId="0" borderId="0" applyNumberFormat="0" applyFill="0" applyBorder="0" applyAlignment="0" applyProtection="0"/>
    <xf numFmtId="40" fontId="1" fillId="0" borderId="0" applyFill="0" applyBorder="0" applyAlignment="0" applyProtection="0"/>
    <xf numFmtId="172" fontId="1" fillId="0" borderId="0" applyFill="0" applyBorder="0" applyAlignment="0" applyProtection="0"/>
    <xf numFmtId="173" fontId="1" fillId="0" borderId="0" applyFill="0" applyBorder="0" applyAlignment="0" applyProtection="0"/>
    <xf numFmtId="174" fontId="1" fillId="0" borderId="0" applyFill="0" applyBorder="0" applyAlignment="0" applyProtection="0"/>
    <xf numFmtId="175" fontId="1" fillId="0" borderId="0" applyFill="0" applyBorder="0" applyAlignment="0" applyProtection="0"/>
    <xf numFmtId="0" fontId="17" fillId="0" borderId="0">
      <alignment vertical="center"/>
    </xf>
    <xf numFmtId="0" fontId="1" fillId="0" borderId="0" applyFill="0" applyBorder="0" applyAlignment="0" applyProtection="0"/>
    <xf numFmtId="0" fontId="1" fillId="0" borderId="0" applyFill="0" applyBorder="0" applyAlignment="0" applyProtection="0"/>
    <xf numFmtId="0" fontId="18" fillId="0" borderId="0"/>
    <xf numFmtId="0" fontId="16" fillId="0" borderId="0" applyNumberFormat="0" applyFill="0" applyBorder="0" applyAlignment="0" applyProtection="0"/>
    <xf numFmtId="0" fontId="3" fillId="0" borderId="0"/>
    <xf numFmtId="0" fontId="4" fillId="0" borderId="0"/>
    <xf numFmtId="0" fontId="4" fillId="0" borderId="0"/>
    <xf numFmtId="0" fontId="3" fillId="0" borderId="0"/>
    <xf numFmtId="0" fontId="2" fillId="0" borderId="0"/>
    <xf numFmtId="0" fontId="2" fillId="0" borderId="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66"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76"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6" fontId="1" fillId="0" borderId="0" applyFill="0" applyBorder="0" applyAlignment="0" applyProtection="0"/>
    <xf numFmtId="0" fontId="123" fillId="0" borderId="0"/>
    <xf numFmtId="0" fontId="123" fillId="0" borderId="0"/>
    <xf numFmtId="1" fontId="6" fillId="0" borderId="0" applyBorder="0" applyAlignment="0"/>
    <xf numFmtId="0" fontId="7" fillId="2" borderId="0"/>
    <xf numFmtId="9" fontId="115" fillId="0" borderId="0" applyBorder="0" applyAlignment="0" applyProtection="0"/>
    <xf numFmtId="0" fontId="8" fillId="2" borderId="0"/>
    <xf numFmtId="0" fontId="5" fillId="0" borderId="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1" fillId="2" borderId="0"/>
    <xf numFmtId="0" fontId="12" fillId="0" borderId="0">
      <alignment wrapText="1"/>
    </xf>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12" borderId="0" applyNumberFormat="0" applyBorder="0" applyAlignment="0" applyProtection="0"/>
    <xf numFmtId="0" fontId="1" fillId="0" borderId="0" applyNumberFormat="0" applyBorder="0" applyAlignment="0"/>
    <xf numFmtId="0" fontId="13" fillId="0" borderId="0"/>
    <xf numFmtId="0" fontId="14" fillId="13"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20" borderId="0" applyNumberFormat="0" applyBorder="0" applyAlignment="0" applyProtection="0"/>
    <xf numFmtId="215" fontId="1" fillId="0" borderId="0" applyFill="0" applyBorder="0" applyAlignment="0" applyProtection="0"/>
    <xf numFmtId="0" fontId="1" fillId="0" borderId="0" applyFill="0" applyBorder="0" applyAlignment="0" applyProtection="0"/>
    <xf numFmtId="216" fontId="1" fillId="0" borderId="0" applyFill="0" applyBorder="0" applyAlignment="0" applyProtection="0"/>
    <xf numFmtId="217" fontId="1" fillId="0" borderId="0" applyFill="0" applyBorder="0" applyAlignment="0" applyProtection="0"/>
    <xf numFmtId="0" fontId="1" fillId="0" borderId="0" applyFill="0" applyBorder="0" applyAlignment="0" applyProtection="0"/>
    <xf numFmtId="191" fontId="1" fillId="0" borderId="0" applyFill="0" applyBorder="0" applyAlignment="0" applyProtection="0"/>
    <xf numFmtId="0" fontId="19" fillId="0" borderId="0">
      <alignment horizontal="center" wrapText="1"/>
      <protection locked="0"/>
    </xf>
    <xf numFmtId="206" fontId="1" fillId="0" borderId="0" applyFill="0" applyBorder="0" applyAlignment="0" applyProtection="0"/>
    <xf numFmtId="0" fontId="1" fillId="0" borderId="0" applyFill="0" applyBorder="0" applyAlignment="0" applyProtection="0"/>
    <xf numFmtId="206" fontId="1" fillId="0" borderId="0" applyFill="0" applyBorder="0" applyAlignment="0" applyProtection="0"/>
    <xf numFmtId="188" fontId="1" fillId="0" borderId="0" applyFill="0" applyBorder="0" applyAlignment="0" applyProtection="0"/>
    <xf numFmtId="0" fontId="1" fillId="0" borderId="0" applyFill="0" applyBorder="0" applyAlignment="0" applyProtection="0"/>
    <xf numFmtId="214"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0" fontId="20" fillId="4" borderId="0" applyNumberFormat="0" applyBorder="0" applyAlignment="0" applyProtection="0"/>
    <xf numFmtId="0" fontId="21" fillId="0" borderId="0"/>
    <xf numFmtId="0" fontId="22" fillId="0" borderId="0"/>
    <xf numFmtId="0" fontId="17" fillId="0" borderId="0" applyNumberFormat="0" applyFill="0" applyBorder="0" applyAlignment="0" applyProtection="0"/>
    <xf numFmtId="0" fontId="23" fillId="0" borderId="0"/>
    <xf numFmtId="0" fontId="30" fillId="0" borderId="0"/>
    <xf numFmtId="0" fontId="23" fillId="0" borderId="0"/>
    <xf numFmtId="0" fontId="4" fillId="0" borderId="0"/>
    <xf numFmtId="0" fontId="32" fillId="0" borderId="0"/>
    <xf numFmtId="181" fontId="24" fillId="0" borderId="0" applyFill="0" applyBorder="0" applyAlignment="0"/>
    <xf numFmtId="0" fontId="25" fillId="2" borderId="1" applyNumberFormat="0" applyAlignment="0" applyProtection="0"/>
    <xf numFmtId="0" fontId="26" fillId="0" borderId="0"/>
    <xf numFmtId="0" fontId="26" fillId="0" borderId="0"/>
    <xf numFmtId="0" fontId="27" fillId="21" borderId="2" applyNumberFormat="0" applyAlignment="0" applyProtection="0"/>
    <xf numFmtId="225" fontId="1" fillId="0" borderId="0" applyFill="0" applyBorder="0" applyAlignment="0" applyProtection="0"/>
    <xf numFmtId="182" fontId="28" fillId="0" borderId="0"/>
    <xf numFmtId="182" fontId="28" fillId="0" borderId="0"/>
    <xf numFmtId="182" fontId="28" fillId="0" borderId="0"/>
    <xf numFmtId="182" fontId="28" fillId="0" borderId="0"/>
    <xf numFmtId="182" fontId="28" fillId="0" borderId="0"/>
    <xf numFmtId="182" fontId="28" fillId="0" borderId="0"/>
    <xf numFmtId="182" fontId="28" fillId="0" borderId="0"/>
    <xf numFmtId="182" fontId="28" fillId="0" borderId="0"/>
    <xf numFmtId="0" fontId="29" fillId="0" borderId="3"/>
    <xf numFmtId="172" fontId="1" fillId="0" borderId="0" applyFill="0" applyBorder="0" applyAlignment="0" applyProtection="0"/>
    <xf numFmtId="183"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5"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6" fontId="1" fillId="0" borderId="0" applyFill="0" applyBorder="0" applyAlignment="0" applyProtection="0"/>
    <xf numFmtId="184" fontId="1" fillId="0" borderId="0" applyFill="0" applyBorder="0" applyAlignment="0" applyProtection="0"/>
    <xf numFmtId="187" fontId="30" fillId="0" borderId="0"/>
    <xf numFmtId="0" fontId="16" fillId="0" borderId="0" applyNumberFormat="0" applyFill="0" applyBorder="0" applyAlignment="0" applyProtection="0"/>
    <xf numFmtId="174" fontId="1" fillId="0" borderId="0" applyFill="0" applyBorder="0" applyAlignment="0" applyProtection="0"/>
    <xf numFmtId="174" fontId="1" fillId="0" borderId="0" applyFill="0" applyBorder="0" applyAlignment="0" applyProtection="0"/>
    <xf numFmtId="188" fontId="1" fillId="0" borderId="0" applyFill="0" applyBorder="0" applyAlignment="0" applyProtection="0"/>
    <xf numFmtId="3" fontId="1" fillId="0" borderId="0" applyFill="0" applyBorder="0" applyAlignment="0" applyProtection="0"/>
    <xf numFmtId="40" fontId="1" fillId="0" borderId="0" applyFill="0" applyBorder="0" applyAlignment="0" applyProtection="0"/>
    <xf numFmtId="0" fontId="31" fillId="0" borderId="0" applyNumberFormat="0" applyAlignment="0"/>
    <xf numFmtId="16" fontId="1" fillId="0" borderId="0" applyFill="0" applyBorder="0" applyAlignment="0" applyProtection="0"/>
    <xf numFmtId="17" fontId="1" fillId="0" borderId="0" applyFill="0" applyBorder="0" applyAlignment="0" applyProtection="0"/>
    <xf numFmtId="189" fontId="1" fillId="0" borderId="0" applyFill="0" applyBorder="0" applyAlignment="0" applyProtection="0"/>
    <xf numFmtId="190" fontId="1" fillId="0" borderId="0" applyFill="0" applyBorder="0" applyAlignment="0" applyProtection="0"/>
    <xf numFmtId="191" fontId="1" fillId="0" borderId="0" applyFill="0" applyBorder="0" applyAlignment="0" applyProtection="0"/>
    <xf numFmtId="192" fontId="16" fillId="0" borderId="0"/>
    <xf numFmtId="0" fontId="1" fillId="0" borderId="0" applyFill="0" applyBorder="0" applyAlignment="0" applyProtection="0"/>
    <xf numFmtId="0" fontId="118" fillId="2" borderId="4" applyNumberFormat="0" applyAlignment="0" applyProtection="0"/>
    <xf numFmtId="0" fontId="119" fillId="8" borderId="1" applyNumberFormat="0" applyAlignment="0" applyProtection="0"/>
    <xf numFmtId="174" fontId="1" fillId="0" borderId="0" applyFill="0" applyBorder="0" applyAlignment="0" applyProtection="0"/>
    <xf numFmtId="0" fontId="120" fillId="0" borderId="5" applyNumberFormat="0" applyFill="0" applyAlignment="0" applyProtection="0"/>
    <xf numFmtId="0" fontId="121" fillId="0" borderId="6" applyNumberFormat="0" applyFill="0" applyAlignment="0" applyProtection="0"/>
    <xf numFmtId="0" fontId="122" fillId="0" borderId="7" applyNumberFormat="0" applyFill="0" applyAlignment="0" applyProtection="0"/>
    <xf numFmtId="0" fontId="122" fillId="0" borderId="0" applyNumberFormat="0" applyFill="0" applyBorder="0" applyAlignment="0" applyProtection="0"/>
    <xf numFmtId="193" fontId="1" fillId="0" borderId="0" applyFill="0" applyBorder="0" applyAlignment="0" applyProtection="0"/>
    <xf numFmtId="194" fontId="1" fillId="0" borderId="0" applyFill="0" applyBorder="0" applyAlignment="0" applyProtection="0"/>
    <xf numFmtId="195" fontId="16" fillId="0" borderId="0"/>
    <xf numFmtId="172" fontId="1" fillId="0" borderId="0" applyFill="0" applyBorder="0" applyAlignment="0" applyProtection="0"/>
    <xf numFmtId="172"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0" fontId="33" fillId="0" borderId="0" applyNumberFormat="0" applyAlignment="0"/>
    <xf numFmtId="0" fontId="34" fillId="0" borderId="0" applyNumberFormat="0" applyFill="0" applyBorder="0" applyAlignment="0" applyProtection="0"/>
    <xf numFmtId="2" fontId="1" fillId="0" borderId="0" applyFill="0" applyBorder="0" applyAlignment="0" applyProtection="0"/>
    <xf numFmtId="0" fontId="35" fillId="0" borderId="0" applyNumberFormat="0" applyFill="0" applyBorder="0" applyAlignment="0" applyProtection="0"/>
    <xf numFmtId="0" fontId="36" fillId="0" borderId="0" applyNumberFormat="0" applyFill="0" applyBorder="0" applyProtection="0">
      <alignment vertical="center"/>
    </xf>
    <xf numFmtId="0" fontId="37" fillId="0" borderId="0" applyNumberFormat="0" applyFill="0" applyBorder="0" applyAlignment="0" applyProtection="0"/>
    <xf numFmtId="0" fontId="38" fillId="0" borderId="0" applyNumberFormat="0" applyFill="0" applyBorder="0" applyProtection="0">
      <alignment vertical="center"/>
    </xf>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 fillId="22" borderId="8" applyNumberFormat="0" applyAlignment="0" applyProtection="0"/>
    <xf numFmtId="0" fontId="43" fillId="5" borderId="0" applyNumberFormat="0" applyBorder="0" applyAlignment="0" applyProtection="0"/>
    <xf numFmtId="0" fontId="44" fillId="2" borderId="0" applyNumberFormat="0" applyBorder="0" applyAlignment="0" applyProtection="0"/>
    <xf numFmtId="0" fontId="45" fillId="23" borderId="0" applyNumberFormat="0" applyBorder="0" applyAlignment="0" applyProtection="0"/>
    <xf numFmtId="0" fontId="44" fillId="23" borderId="0" applyNumberFormat="0" applyBorder="0" applyAlignment="0" applyProtection="0"/>
    <xf numFmtId="0" fontId="46" fillId="0" borderId="0" applyNumberFormat="0" applyFill="0" applyBorder="0" applyAlignment="0" applyProtection="0"/>
    <xf numFmtId="0" fontId="1" fillId="0" borderId="0" applyNumberFormat="0" applyBorder="0" applyAlignment="0"/>
    <xf numFmtId="196" fontId="1" fillId="0" borderId="0" applyFill="0" applyBorder="0" applyAlignment="0" applyProtection="0"/>
    <xf numFmtId="0" fontId="47" fillId="24" borderId="0"/>
    <xf numFmtId="0" fontId="47" fillId="23" borderId="0"/>
    <xf numFmtId="0" fontId="48" fillId="0" borderId="0">
      <alignment horizontal="left"/>
    </xf>
    <xf numFmtId="0" fontId="48" fillId="0" borderId="0">
      <alignment horizontal="left"/>
    </xf>
    <xf numFmtId="0" fontId="48" fillId="0" borderId="9" applyNumberFormat="0" applyAlignment="0" applyProtection="0"/>
    <xf numFmtId="0" fontId="48" fillId="0" borderId="10">
      <alignment horizontal="left" vertical="center"/>
    </xf>
    <xf numFmtId="0" fontId="49" fillId="0" borderId="0" applyNumberFormat="0" applyFill="0" applyBorder="0" applyAlignment="0" applyProtection="0"/>
    <xf numFmtId="0" fontId="48" fillId="0" borderId="0" applyNumberFormat="0" applyFill="0" applyBorder="0" applyAlignment="0" applyProtection="0"/>
    <xf numFmtId="0" fontId="50" fillId="0" borderId="7" applyNumberFormat="0" applyFill="0" applyAlignment="0" applyProtection="0"/>
    <xf numFmtId="0" fontId="50" fillId="0" borderId="0" applyNumberFormat="0" applyFill="0" applyBorder="0" applyAlignment="0" applyProtection="0"/>
    <xf numFmtId="0" fontId="49" fillId="0" borderId="0" applyProtection="0"/>
    <xf numFmtId="0" fontId="48" fillId="0" borderId="0" applyProtection="0"/>
    <xf numFmtId="0" fontId="51" fillId="0" borderId="11">
      <alignment horizontal="center"/>
    </xf>
    <xf numFmtId="0" fontId="51" fillId="0" borderId="0">
      <alignment horizontal="center"/>
    </xf>
    <xf numFmtId="49" fontId="52" fillId="0" borderId="3">
      <alignment vertical="center"/>
    </xf>
    <xf numFmtId="0" fontId="53" fillId="0" borderId="0" applyNumberFormat="0" applyFill="0" applyBorder="0" applyAlignment="0" applyProtection="0"/>
    <xf numFmtId="0" fontId="54" fillId="0" borderId="0" applyNumberFormat="0" applyFill="0" applyBorder="0" applyAlignment="0" applyProtection="0"/>
    <xf numFmtId="180" fontId="1" fillId="0" borderId="0" applyFill="0" applyBorder="0" applyAlignment="0" applyProtection="0"/>
    <xf numFmtId="0" fontId="2" fillId="0" borderId="0"/>
    <xf numFmtId="0" fontId="44" fillId="22" borderId="0" applyNumberFormat="0" applyBorder="0" applyAlignment="0" applyProtection="0"/>
    <xf numFmtId="0" fontId="45" fillId="23" borderId="0" applyNumberFormat="0" applyBorder="0" applyAlignment="0" applyProtection="0"/>
    <xf numFmtId="0" fontId="44" fillId="23" borderId="0" applyNumberFormat="0" applyBorder="0" applyAlignment="0" applyProtection="0"/>
    <xf numFmtId="0" fontId="55" fillId="8" borderId="1" applyNumberFormat="0" applyAlignment="0" applyProtection="0"/>
    <xf numFmtId="0" fontId="55" fillId="8" borderId="1" applyNumberFormat="0" applyAlignment="0" applyProtection="0"/>
    <xf numFmtId="0" fontId="5" fillId="0" borderId="0"/>
    <xf numFmtId="0" fontId="57" fillId="21" borderId="2" applyNumberFormat="0" applyAlignment="0" applyProtection="0"/>
    <xf numFmtId="0" fontId="56" fillId="0" borderId="0" applyNumberFormat="0" applyFill="0">
      <alignment horizontal="center"/>
    </xf>
    <xf numFmtId="0" fontId="24" fillId="0" borderId="0"/>
    <xf numFmtId="0" fontId="58" fillId="0" borderId="12" applyNumberFormat="0" applyFill="0" applyAlignment="0" applyProtection="0"/>
    <xf numFmtId="0" fontId="59" fillId="0" borderId="13" applyNumberFormat="0" applyAlignment="0"/>
    <xf numFmtId="0" fontId="60" fillId="0" borderId="13" applyNumberFormat="0" applyAlignment="0"/>
    <xf numFmtId="0" fontId="61" fillId="0" borderId="13" applyNumberFormat="0" applyAlignment="0"/>
    <xf numFmtId="38" fontId="1" fillId="0" borderId="0" applyFill="0" applyBorder="0" applyAlignment="0" applyProtection="0"/>
    <xf numFmtId="40" fontId="1" fillId="0" borderId="0" applyFill="0" applyBorder="0" applyAlignment="0" applyProtection="0"/>
    <xf numFmtId="0" fontId="62" fillId="0" borderId="11"/>
    <xf numFmtId="0" fontId="62" fillId="0" borderId="11"/>
    <xf numFmtId="197" fontId="16" fillId="0" borderId="14"/>
    <xf numFmtId="198" fontId="1" fillId="0" borderId="0" applyFill="0" applyBorder="0" applyAlignment="0" applyProtection="0"/>
    <xf numFmtId="199" fontId="1" fillId="0" borderId="0" applyFill="0" applyBorder="0" applyAlignment="0" applyProtection="0"/>
    <xf numFmtId="200" fontId="1" fillId="0" borderId="0" applyFill="0" applyBorder="0" applyAlignment="0" applyProtection="0"/>
    <xf numFmtId="201" fontId="1" fillId="0" borderId="0" applyFill="0" applyBorder="0" applyAlignment="0" applyProtection="0"/>
    <xf numFmtId="0" fontId="1" fillId="0" borderId="0" applyNumberFormat="0" applyFill="0" applyAlignment="0"/>
    <xf numFmtId="0" fontId="63" fillId="25" borderId="0" applyNumberFormat="0" applyBorder="0" applyAlignment="0" applyProtection="0"/>
    <xf numFmtId="0" fontId="30" fillId="0" borderId="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37" fontId="64" fillId="0" borderId="0"/>
    <xf numFmtId="202" fontId="65" fillId="0" borderId="0"/>
    <xf numFmtId="0" fontId="16" fillId="0" borderId="0"/>
    <xf numFmtId="0" fontId="16" fillId="0" borderId="0"/>
    <xf numFmtId="203" fontId="66" fillId="0" borderId="0"/>
    <xf numFmtId="0" fontId="16" fillId="0" borderId="0"/>
    <xf numFmtId="0" fontId="67" fillId="0" borderId="0"/>
    <xf numFmtId="0" fontId="67" fillId="0" borderId="0"/>
    <xf numFmtId="0" fontId="5" fillId="0" borderId="0"/>
    <xf numFmtId="0" fontId="68" fillId="0" borderId="0"/>
    <xf numFmtId="0" fontId="16" fillId="0" borderId="0"/>
    <xf numFmtId="0" fontId="68" fillId="0" borderId="0"/>
    <xf numFmtId="0" fontId="69" fillId="0" borderId="0"/>
    <xf numFmtId="0" fontId="67" fillId="0" borderId="0"/>
    <xf numFmtId="0" fontId="67" fillId="0" borderId="0"/>
    <xf numFmtId="0" fontId="16" fillId="0" borderId="0"/>
    <xf numFmtId="0" fontId="16" fillId="0" borderId="0"/>
    <xf numFmtId="0" fontId="16" fillId="0" borderId="0"/>
    <xf numFmtId="0" fontId="29" fillId="0" borderId="0"/>
    <xf numFmtId="0" fontId="16" fillId="0" borderId="0"/>
    <xf numFmtId="0" fontId="67" fillId="0" borderId="0"/>
    <xf numFmtId="0" fontId="70" fillId="0" borderId="0"/>
    <xf numFmtId="0" fontId="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5" fillId="0" borderId="0"/>
    <xf numFmtId="0" fontId="16" fillId="0" borderId="0"/>
    <xf numFmtId="0" fontId="16" fillId="0" borderId="0"/>
    <xf numFmtId="0" fontId="69" fillId="0" borderId="0"/>
    <xf numFmtId="0" fontId="71" fillId="0" borderId="0"/>
    <xf numFmtId="0" fontId="16" fillId="0" borderId="0"/>
    <xf numFmtId="0" fontId="16" fillId="0" borderId="0"/>
    <xf numFmtId="0" fontId="17" fillId="0" borderId="0"/>
    <xf numFmtId="0" fontId="17" fillId="0" borderId="0"/>
    <xf numFmtId="0" fontId="22" fillId="0" borderId="0"/>
    <xf numFmtId="0" fontId="67" fillId="0" borderId="0"/>
    <xf numFmtId="0" fontId="5" fillId="0" borderId="0"/>
    <xf numFmtId="0" fontId="5" fillId="0" borderId="0"/>
    <xf numFmtId="0" fontId="72" fillId="0" borderId="0"/>
    <xf numFmtId="0" fontId="16" fillId="0" borderId="0"/>
    <xf numFmtId="0" fontId="73" fillId="0" borderId="0"/>
    <xf numFmtId="0" fontId="74" fillId="0" borderId="0"/>
    <xf numFmtId="0" fontId="16" fillId="0" borderId="0"/>
    <xf numFmtId="0" fontId="75" fillId="0" borderId="0"/>
    <xf numFmtId="0" fontId="71" fillId="0" borderId="0"/>
    <xf numFmtId="0" fontId="67" fillId="0" borderId="0"/>
    <xf numFmtId="0" fontId="67" fillId="0" borderId="0"/>
    <xf numFmtId="0" fontId="76" fillId="0" borderId="0"/>
    <xf numFmtId="0" fontId="73" fillId="0" borderId="0"/>
    <xf numFmtId="0" fontId="5" fillId="0" borderId="0"/>
    <xf numFmtId="0" fontId="77" fillId="0" borderId="0"/>
    <xf numFmtId="0" fontId="1" fillId="22" borderId="8" applyNumberFormat="0" applyAlignment="0" applyProtection="0"/>
    <xf numFmtId="0" fontId="116" fillId="0" borderId="12" applyNumberFormat="0" applyFill="0" applyAlignment="0" applyProtection="0"/>
    <xf numFmtId="3" fontId="1" fillId="0" borderId="0" applyFill="0" applyBorder="0" applyAlignment="0" applyProtection="0"/>
    <xf numFmtId="0" fontId="78" fillId="0" borderId="0" applyNumberFormat="0" applyFill="0" applyBorder="0" applyAlignment="0" applyProtection="0"/>
    <xf numFmtId="0" fontId="5" fillId="0" borderId="0" applyNumberFormat="0" applyFill="0" applyBorder="0" applyAlignment="0" applyProtection="0"/>
    <xf numFmtId="0" fontId="2" fillId="0" borderId="0"/>
    <xf numFmtId="0" fontId="79" fillId="2" borderId="4" applyNumberFormat="0" applyAlignment="0" applyProtection="0"/>
    <xf numFmtId="204" fontId="1" fillId="0" borderId="0" applyFill="0" applyBorder="0" applyAlignment="0" applyProtection="0"/>
    <xf numFmtId="14" fontId="19" fillId="0" borderId="0">
      <alignment horizontal="center" wrapText="1"/>
      <protection locked="0"/>
    </xf>
    <xf numFmtId="10" fontId="1" fillId="0" borderId="0" applyFill="0" applyBorder="0" applyAlignment="0" applyProtection="0"/>
    <xf numFmtId="10" fontId="1" fillId="0" borderId="0" applyFill="0" applyBorder="0" applyAlignment="0" applyProtection="0"/>
    <xf numFmtId="10" fontId="1" fillId="0" borderId="0" applyFill="0" applyBorder="0" applyAlignment="0" applyProtection="0"/>
    <xf numFmtId="9" fontId="1" fillId="0" borderId="0" applyFill="0" applyBorder="0" applyAlignment="0" applyProtection="0"/>
    <xf numFmtId="9" fontId="1" fillId="0" borderId="0" applyFill="0" applyBorder="0" applyAlignment="0" applyProtection="0"/>
    <xf numFmtId="9" fontId="1" fillId="0" borderId="0" applyFill="0" applyBorder="0" applyAlignment="0" applyProtection="0"/>
    <xf numFmtId="0" fontId="1" fillId="26" borderId="0" applyNumberFormat="0" applyBorder="0" applyAlignment="0"/>
    <xf numFmtId="0" fontId="44" fillId="0" borderId="0" applyNumberFormat="0" applyFill="0" applyBorder="0" applyAlignment="0" applyProtection="0"/>
    <xf numFmtId="180" fontId="1" fillId="0" borderId="0" applyFill="0" applyBorder="0" applyAlignment="0" applyProtection="0"/>
    <xf numFmtId="0" fontId="5" fillId="0" borderId="0" applyNumberFormat="0" applyFill="0" applyBorder="0" applyAlignment="0" applyProtection="0"/>
    <xf numFmtId="0" fontId="80" fillId="25" borderId="15" applyNumberFormat="0" applyProtection="0">
      <alignment vertical="center"/>
    </xf>
    <xf numFmtId="0" fontId="81" fillId="25" borderId="15" applyNumberFormat="0" applyProtection="0">
      <alignment vertical="center"/>
    </xf>
    <xf numFmtId="0" fontId="82" fillId="25" borderId="15" applyNumberFormat="0" applyProtection="0">
      <alignment horizontal="left" vertical="center" indent="1"/>
    </xf>
    <xf numFmtId="0" fontId="82" fillId="27" borderId="0" applyNumberFormat="0" applyProtection="0">
      <alignment horizontal="left" vertical="center" indent="1"/>
    </xf>
    <xf numFmtId="0" fontId="82" fillId="18" borderId="15" applyNumberFormat="0" applyProtection="0">
      <alignment horizontal="right" vertical="center"/>
    </xf>
    <xf numFmtId="0" fontId="82" fillId="4" borderId="15" applyNumberFormat="0" applyProtection="0">
      <alignment horizontal="right" vertical="center"/>
    </xf>
    <xf numFmtId="0" fontId="82" fillId="10" borderId="15" applyNumberFormat="0" applyProtection="0">
      <alignment horizontal="right" vertical="center"/>
    </xf>
    <xf numFmtId="0" fontId="82" fillId="5" borderId="15" applyNumberFormat="0" applyProtection="0">
      <alignment horizontal="right" vertical="center"/>
    </xf>
    <xf numFmtId="0" fontId="82" fillId="12" borderId="15" applyNumberFormat="0" applyProtection="0">
      <alignment horizontal="right" vertical="center"/>
    </xf>
    <xf numFmtId="0" fontId="82" fillId="8" borderId="15" applyNumberFormat="0" applyProtection="0">
      <alignment horizontal="right" vertical="center"/>
    </xf>
    <xf numFmtId="0" fontId="82" fillId="28" borderId="15" applyNumberFormat="0" applyProtection="0">
      <alignment horizontal="right" vertical="center"/>
    </xf>
    <xf numFmtId="0" fontId="82" fillId="19" borderId="15" applyNumberFormat="0" applyProtection="0">
      <alignment horizontal="right" vertical="center"/>
    </xf>
    <xf numFmtId="0" fontId="82" fillId="29" borderId="15" applyNumberFormat="0" applyProtection="0">
      <alignment horizontal="right" vertical="center"/>
    </xf>
    <xf numFmtId="0" fontId="80" fillId="30" borderId="16" applyNumberFormat="0" applyProtection="0">
      <alignment horizontal="left" vertical="center" indent="1"/>
    </xf>
    <xf numFmtId="0" fontId="80" fillId="9" borderId="0" applyNumberFormat="0" applyProtection="0">
      <alignment horizontal="left" vertical="center" indent="1"/>
    </xf>
    <xf numFmtId="0" fontId="80" fillId="27" borderId="0" applyNumberFormat="0" applyProtection="0">
      <alignment horizontal="left" vertical="center" indent="1"/>
    </xf>
    <xf numFmtId="0" fontId="82" fillId="9" borderId="15" applyNumberFormat="0" applyProtection="0">
      <alignment horizontal="right" vertical="center"/>
    </xf>
    <xf numFmtId="0" fontId="75" fillId="9" borderId="0" applyNumberFormat="0" applyProtection="0">
      <alignment horizontal="left" vertical="center" indent="1"/>
    </xf>
    <xf numFmtId="0" fontId="75" fillId="27" borderId="0" applyNumberFormat="0" applyProtection="0">
      <alignment horizontal="left" vertical="center" indent="1"/>
    </xf>
    <xf numFmtId="0" fontId="82" fillId="7" borderId="15" applyNumberFormat="0" applyProtection="0">
      <alignment vertical="center"/>
    </xf>
    <xf numFmtId="0" fontId="83" fillId="7" borderId="15" applyNumberFormat="0" applyProtection="0">
      <alignment vertical="center"/>
    </xf>
    <xf numFmtId="0" fontId="80" fillId="9" borderId="17" applyNumberFormat="0" applyProtection="0">
      <alignment horizontal="left" vertical="center" indent="1"/>
    </xf>
    <xf numFmtId="0" fontId="82" fillId="7" borderId="15" applyNumberFormat="0" applyProtection="0">
      <alignment horizontal="right" vertical="center"/>
    </xf>
    <xf numFmtId="0" fontId="83" fillId="7" borderId="15" applyNumberFormat="0" applyProtection="0">
      <alignment horizontal="right" vertical="center"/>
    </xf>
    <xf numFmtId="0" fontId="80" fillId="9" borderId="15" applyNumberFormat="0" applyProtection="0">
      <alignment horizontal="left" vertical="center" indent="1"/>
    </xf>
    <xf numFmtId="0" fontId="84" fillId="31" borderId="17" applyNumberFormat="0" applyProtection="0">
      <alignment horizontal="left" vertical="center" indent="1"/>
    </xf>
    <xf numFmtId="0" fontId="85" fillId="7" borderId="15" applyNumberFormat="0" applyProtection="0">
      <alignment horizontal="right" vertical="center"/>
    </xf>
    <xf numFmtId="0" fontId="1" fillId="32" borderId="10" applyNumberFormat="0" applyAlignment="0"/>
    <xf numFmtId="0" fontId="86" fillId="0" borderId="0" applyNumberFormat="0" applyFill="0" applyBorder="0" applyAlignment="0"/>
    <xf numFmtId="0" fontId="16" fillId="0" borderId="0"/>
    <xf numFmtId="0" fontId="87" fillId="0" borderId="0" applyNumberFormat="0" applyBorder="0" applyAlignment="0"/>
    <xf numFmtId="0" fontId="13" fillId="0" borderId="0" applyNumberFormat="0" applyFill="0" applyBorder="0" applyAlignment="0" applyProtection="0"/>
    <xf numFmtId="0" fontId="1" fillId="0" borderId="0" applyFill="0" applyBorder="0" applyAlignment="0" applyProtection="0"/>
    <xf numFmtId="180"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7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62" fillId="0" borderId="0"/>
    <xf numFmtId="0" fontId="62" fillId="0" borderId="0"/>
    <xf numFmtId="40" fontId="88" fillId="0" borderId="0" applyBorder="0">
      <alignment horizontal="right"/>
    </xf>
    <xf numFmtId="205" fontId="78" fillId="0" borderId="18">
      <alignment horizontal="right" vertical="center"/>
    </xf>
    <xf numFmtId="206" fontId="74"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0" fontId="16" fillId="0" borderId="18">
      <alignment horizontal="right" vertical="center"/>
    </xf>
    <xf numFmtId="205" fontId="78" fillId="0" borderId="18">
      <alignment horizontal="right" vertical="center"/>
    </xf>
    <xf numFmtId="0" fontId="16" fillId="0" borderId="18">
      <alignment horizontal="right" vertical="center"/>
    </xf>
    <xf numFmtId="0" fontId="16" fillId="0" borderId="18">
      <alignment horizontal="right" vertical="center"/>
    </xf>
    <xf numFmtId="0" fontId="16"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206" fontId="74"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197" fontId="89" fillId="0" borderId="18">
      <alignment horizontal="right" vertical="center"/>
    </xf>
    <xf numFmtId="207" fontId="78" fillId="0" borderId="18">
      <alignment horizontal="center"/>
    </xf>
    <xf numFmtId="208" fontId="74" fillId="0" borderId="3">
      <alignment horizontal="left"/>
    </xf>
    <xf numFmtId="0" fontId="117" fillId="0" borderId="19"/>
    <xf numFmtId="0" fontId="78" fillId="0" borderId="0" applyNumberFormat="0" applyFill="0" applyBorder="0" applyAlignment="0" applyProtection="0"/>
    <xf numFmtId="0" fontId="90" fillId="0" borderId="0" applyNumberFormat="0" applyBorder="0" applyAlignment="0"/>
    <xf numFmtId="0" fontId="91" fillId="0" borderId="0" applyNumberFormat="0" applyBorder="0" applyAlignment="0"/>
    <xf numFmtId="0" fontId="92" fillId="0" borderId="0" applyNumberFormat="0" applyBorder="0" applyAlignment="0"/>
    <xf numFmtId="0" fontId="96" fillId="0" borderId="0" applyNumberFormat="0" applyFill="0" applyBorder="0" applyAlignment="0" applyProtection="0"/>
    <xf numFmtId="0" fontId="102" fillId="2" borderId="1" applyNumberFormat="0" applyAlignment="0" applyProtection="0"/>
    <xf numFmtId="0" fontId="93" fillId="0" borderId="0" applyNumberFormat="0" applyFill="0" applyBorder="0" applyAlignment="0" applyProtection="0"/>
    <xf numFmtId="0" fontId="94" fillId="0" borderId="0" applyBorder="0" applyAlignment="0"/>
    <xf numFmtId="0" fontId="95" fillId="0" borderId="0" applyNumberFormat="0" applyFill="0" applyBorder="0" applyAlignment="0" applyProtection="0"/>
    <xf numFmtId="0" fontId="46" fillId="0" borderId="0" applyNumberFormat="0" applyFill="0" applyBorder="0" applyAlignment="0" applyProtection="0"/>
    <xf numFmtId="0" fontId="96" fillId="0" borderId="0" applyNumberFormat="0" applyFill="0" applyBorder="0" applyAlignment="0" applyProtection="0"/>
    <xf numFmtId="0" fontId="104" fillId="0" borderId="20" applyNumberFormat="0" applyFill="0" applyAlignment="0" applyProtection="0"/>
    <xf numFmtId="0" fontId="97" fillId="0" borderId="13" applyNumberFormat="0" applyAlignment="0"/>
    <xf numFmtId="0" fontId="98" fillId="0" borderId="21" applyNumberFormat="0" applyAlignment="0"/>
    <xf numFmtId="0" fontId="99" fillId="0" borderId="0" applyNumberFormat="0" applyBorder="0" applyAlignment="0"/>
    <xf numFmtId="0" fontId="103" fillId="5" borderId="0" applyNumberFormat="0" applyBorder="0" applyAlignment="0" applyProtection="0"/>
    <xf numFmtId="0" fontId="1" fillId="0" borderId="22" applyNumberFormat="0" applyFill="0" applyAlignment="0" applyProtection="0"/>
    <xf numFmtId="0" fontId="100" fillId="25" borderId="0" applyNumberFormat="0" applyBorder="0" applyAlignment="0" applyProtection="0"/>
    <xf numFmtId="0" fontId="101" fillId="0" borderId="23">
      <alignment horizontal="center"/>
    </xf>
    <xf numFmtId="0" fontId="110" fillId="0" borderId="0" applyNumberFormat="0" applyFill="0" applyBorder="0" applyAlignment="0" applyProtection="0"/>
    <xf numFmtId="0" fontId="111" fillId="0" borderId="0" applyNumberFormat="0" applyFill="0" applyBorder="0" applyAlignment="0" applyProtection="0"/>
    <xf numFmtId="0" fontId="48" fillId="0" borderId="24">
      <alignment horizontal="center"/>
    </xf>
    <xf numFmtId="209" fontId="78" fillId="0" borderId="0"/>
    <xf numFmtId="0" fontId="105" fillId="0" borderId="0"/>
    <xf numFmtId="210" fontId="78" fillId="0" borderId="3"/>
    <xf numFmtId="0" fontId="105" fillId="0" borderId="3"/>
    <xf numFmtId="0" fontId="78" fillId="0" borderId="0" applyNumberFormat="0" applyBorder="0" applyAlignment="0" applyProtection="0"/>
    <xf numFmtId="3" fontId="106" fillId="0" borderId="0">
      <protection locked="0"/>
    </xf>
    <xf numFmtId="0" fontId="107" fillId="33" borderId="3">
      <alignment horizontal="left" vertical="center"/>
    </xf>
    <xf numFmtId="211" fontId="108" fillId="0" borderId="25">
      <alignment horizontal="left" vertical="top"/>
    </xf>
    <xf numFmtId="211" fontId="109" fillId="0" borderId="13">
      <alignment horizontal="left" vertical="top"/>
    </xf>
    <xf numFmtId="212" fontId="1" fillId="0" borderId="0" applyFill="0" applyBorder="0" applyAlignment="0" applyProtection="0"/>
    <xf numFmtId="213" fontId="1" fillId="0" borderId="0" applyFill="0" applyBorder="0" applyAlignment="0" applyProtection="0"/>
    <xf numFmtId="0" fontId="112" fillId="0" borderId="0" applyNumberFormat="0" applyFill="0" applyBorder="0" applyAlignment="0" applyProtection="0"/>
    <xf numFmtId="0" fontId="1" fillId="0" borderId="26" applyNumberFormat="0" applyAlignment="0"/>
    <xf numFmtId="0" fontId="114" fillId="4" borderId="0" applyNumberFormat="0" applyBorder="0" applyAlignment="0" applyProtection="0"/>
    <xf numFmtId="0" fontId="113" fillId="0" borderId="0" applyNumberFormat="0" applyFill="0" applyBorder="0" applyAlignment="0" applyProtection="0"/>
    <xf numFmtId="0" fontId="1" fillId="0" borderId="0" applyFill="0" applyBorder="0" applyAlignment="0" applyProtection="0"/>
    <xf numFmtId="0" fontId="1" fillId="0" borderId="0" applyFill="0" applyBorder="0" applyAlignment="0" applyProtection="0"/>
    <xf numFmtId="0" fontId="17" fillId="0" borderId="0">
      <alignment vertical="center"/>
    </xf>
    <xf numFmtId="40" fontId="1" fillId="0" borderId="0" applyFill="0" applyBorder="0" applyAlignment="0" applyProtection="0"/>
    <xf numFmtId="38"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9" fontId="1" fillId="0" borderId="0" applyFill="0" applyBorder="0" applyAlignment="0" applyProtection="0"/>
    <xf numFmtId="0" fontId="126" fillId="0" borderId="0"/>
    <xf numFmtId="188" fontId="1" fillId="0" borderId="0" applyFill="0" applyBorder="0" applyAlignment="0" applyProtection="0"/>
    <xf numFmtId="221" fontId="1" fillId="0" borderId="0" applyFill="0" applyBorder="0" applyAlignment="0" applyProtection="0"/>
    <xf numFmtId="222" fontId="1" fillId="0" borderId="0" applyFill="0" applyBorder="0" applyAlignment="0" applyProtection="0"/>
    <xf numFmtId="223" fontId="1" fillId="0" borderId="0" applyFill="0" applyBorder="0" applyAlignment="0" applyProtection="0"/>
    <xf numFmtId="224" fontId="1" fillId="0" borderId="0" applyFill="0" applyBorder="0" applyAlignment="0" applyProtection="0"/>
    <xf numFmtId="0" fontId="127" fillId="0" borderId="0"/>
    <xf numFmtId="0" fontId="128" fillId="0" borderId="0"/>
    <xf numFmtId="0" fontId="129" fillId="0" borderId="0"/>
    <xf numFmtId="0" fontId="124" fillId="0" borderId="0"/>
    <xf numFmtId="173" fontId="1" fillId="0" borderId="0" applyFill="0" applyBorder="0" applyAlignment="0" applyProtection="0"/>
    <xf numFmtId="174" fontId="1" fillId="0" borderId="0" applyFill="0" applyBorder="0" applyAlignment="0" applyProtection="0"/>
    <xf numFmtId="0" fontId="16" fillId="0" borderId="0"/>
    <xf numFmtId="172" fontId="1" fillId="0" borderId="0" applyFill="0" applyBorder="0" applyAlignment="0" applyProtection="0"/>
    <xf numFmtId="0" fontId="125" fillId="0" borderId="0"/>
    <xf numFmtId="218" fontId="1" fillId="0" borderId="0" applyFill="0" applyBorder="0" applyAlignment="0" applyProtection="0"/>
    <xf numFmtId="219" fontId="1" fillId="0" borderId="0" applyFill="0" applyBorder="0" applyAlignment="0" applyProtection="0"/>
    <xf numFmtId="220" fontId="1" fillId="0" borderId="0" applyFill="0" applyBorder="0" applyAlignment="0" applyProtection="0"/>
    <xf numFmtId="0" fontId="67" fillId="0" borderId="0"/>
  </cellStyleXfs>
  <cellXfs count="1075">
    <xf numFmtId="0" fontId="0" fillId="0" borderId="0" xfId="0"/>
    <xf numFmtId="0" fontId="17" fillId="0" borderId="0" xfId="0" applyFont="1"/>
    <xf numFmtId="0" fontId="17" fillId="0" borderId="0" xfId="0" applyFont="1" applyAlignment="1">
      <alignment horizontal="right"/>
    </xf>
    <xf numFmtId="0" fontId="130" fillId="0" borderId="0" xfId="0" applyFont="1" applyAlignment="1">
      <alignment horizontal="right"/>
    </xf>
    <xf numFmtId="0" fontId="17" fillId="34" borderId="0" xfId="0" applyFont="1" applyFill="1"/>
    <xf numFmtId="0" fontId="131" fillId="0" borderId="0" xfId="0" applyFont="1" applyAlignment="1">
      <alignment horizontal="center"/>
    </xf>
    <xf numFmtId="0" fontId="17" fillId="0" borderId="0" xfId="0" applyFont="1" applyAlignment="1">
      <alignment horizontal="center"/>
    </xf>
    <xf numFmtId="3" fontId="17" fillId="0" borderId="0" xfId="0" applyNumberFormat="1" applyFont="1"/>
    <xf numFmtId="3" fontId="30" fillId="0" borderId="0" xfId="0" applyNumberFormat="1" applyFont="1"/>
    <xf numFmtId="0" fontId="30" fillId="0" borderId="27" xfId="0" applyFont="1" applyBorder="1" applyAlignment="1">
      <alignment horizontal="center" vertical="center"/>
    </xf>
    <xf numFmtId="0" fontId="30" fillId="0" borderId="27" xfId="0" applyFont="1" applyBorder="1" applyAlignment="1">
      <alignment horizontal="center"/>
    </xf>
    <xf numFmtId="0" fontId="30" fillId="0" borderId="28" xfId="0" applyFont="1" applyBorder="1" applyAlignment="1">
      <alignment horizontal="center"/>
    </xf>
    <xf numFmtId="0" fontId="17" fillId="0" borderId="29" xfId="0" applyFont="1" applyBorder="1" applyAlignment="1">
      <alignment horizontal="center" vertical="center"/>
    </xf>
    <xf numFmtId="0" fontId="30" fillId="0" borderId="29" xfId="0" applyFont="1" applyBorder="1" applyAlignment="1">
      <alignment horizontal="center"/>
    </xf>
    <xf numFmtId="0" fontId="30" fillId="0" borderId="30" xfId="0" applyFont="1" applyBorder="1" applyAlignment="1">
      <alignment horizontal="center"/>
    </xf>
    <xf numFmtId="0" fontId="30" fillId="0" borderId="31" xfId="0" applyFont="1" applyBorder="1" applyAlignment="1">
      <alignment horizontal="center"/>
    </xf>
    <xf numFmtId="0" fontId="30" fillId="0" borderId="32" xfId="0" applyFont="1" applyBorder="1" applyAlignment="1">
      <alignment vertical="center" wrapText="1"/>
    </xf>
    <xf numFmtId="0" fontId="132" fillId="0" borderId="33" xfId="0" applyFont="1" applyBorder="1" applyAlignment="1">
      <alignment horizontal="center" vertical="center" wrapText="1"/>
    </xf>
    <xf numFmtId="4" fontId="132" fillId="0" borderId="33" xfId="181" applyNumberFormat="1" applyFont="1" applyFill="1" applyBorder="1" applyAlignment="1" applyProtection="1">
      <alignment horizontal="right" vertical="center" wrapText="1"/>
    </xf>
    <xf numFmtId="4" fontId="132" fillId="0" borderId="34" xfId="181" applyNumberFormat="1" applyFont="1" applyFill="1" applyBorder="1" applyAlignment="1" applyProtection="1">
      <alignment horizontal="right" vertical="center" wrapText="1"/>
    </xf>
    <xf numFmtId="0" fontId="132" fillId="0" borderId="35" xfId="0" applyFont="1" applyBorder="1" applyAlignment="1">
      <alignment vertical="center" wrapText="1"/>
    </xf>
    <xf numFmtId="0" fontId="132" fillId="0" borderId="36" xfId="0" applyFont="1" applyBorder="1" applyAlignment="1">
      <alignment horizontal="center" vertical="center" wrapText="1"/>
    </xf>
    <xf numFmtId="4" fontId="132" fillId="0" borderId="36" xfId="181" applyNumberFormat="1" applyFont="1" applyFill="1" applyBorder="1" applyAlignment="1" applyProtection="1">
      <alignment vertical="center" wrapText="1"/>
    </xf>
    <xf numFmtId="4" fontId="132" fillId="0" borderId="37" xfId="181" applyNumberFormat="1" applyFont="1" applyFill="1" applyBorder="1" applyAlignment="1" applyProtection="1">
      <alignment vertical="center" wrapText="1"/>
    </xf>
    <xf numFmtId="4" fontId="17" fillId="0" borderId="0" xfId="0" applyNumberFormat="1" applyFont="1" applyAlignment="1">
      <alignment vertical="center" wrapText="1"/>
    </xf>
    <xf numFmtId="0" fontId="17" fillId="0" borderId="0" xfId="0" applyFont="1" applyAlignment="1">
      <alignment vertical="center" wrapText="1"/>
    </xf>
    <xf numFmtId="0" fontId="132" fillId="0" borderId="38" xfId="0" applyFont="1" applyBorder="1" applyAlignment="1">
      <alignment horizontal="center" vertical="center" wrapText="1"/>
    </xf>
    <xf numFmtId="0" fontId="132" fillId="0" borderId="21" xfId="0" applyFont="1" applyBorder="1" applyAlignment="1">
      <alignment vertical="center" wrapText="1"/>
    </xf>
    <xf numFmtId="4" fontId="132" fillId="0" borderId="21" xfId="181" applyNumberFormat="1" applyFont="1" applyFill="1" applyBorder="1" applyAlignment="1" applyProtection="1">
      <alignment vertical="center" wrapText="1"/>
    </xf>
    <xf numFmtId="4" fontId="132" fillId="0" borderId="39" xfId="181" applyNumberFormat="1" applyFont="1" applyFill="1" applyBorder="1" applyAlignment="1" applyProtection="1">
      <alignment vertical="center" wrapText="1"/>
    </xf>
    <xf numFmtId="0" fontId="132" fillId="0" borderId="40" xfId="0" applyFont="1" applyBorder="1" applyAlignment="1">
      <alignment horizontal="center" vertical="center" wrapText="1"/>
    </xf>
    <xf numFmtId="0" fontId="133" fillId="0" borderId="38" xfId="0" applyFont="1" applyBorder="1" applyAlignment="1">
      <alignment horizontal="center"/>
    </xf>
    <xf numFmtId="0" fontId="133" fillId="0" borderId="21" xfId="0" applyFont="1" applyBorder="1"/>
    <xf numFmtId="4" fontId="133" fillId="0" borderId="21" xfId="181" applyNumberFormat="1" applyFont="1" applyFill="1" applyBorder="1" applyAlignment="1" applyProtection="1"/>
    <xf numFmtId="4" fontId="133" fillId="0" borderId="39" xfId="181" applyNumberFormat="1" applyFont="1" applyFill="1" applyBorder="1" applyAlignment="1" applyProtection="1"/>
    <xf numFmtId="0" fontId="133" fillId="0" borderId="40" xfId="0" applyFont="1" applyBorder="1" applyAlignment="1">
      <alignment horizontal="center"/>
    </xf>
    <xf numFmtId="4" fontId="17" fillId="0" borderId="0" xfId="0" applyNumberFormat="1" applyFont="1"/>
    <xf numFmtId="4" fontId="133" fillId="23" borderId="21" xfId="181" applyNumberFormat="1" applyFont="1" applyFill="1" applyBorder="1" applyAlignment="1" applyProtection="1"/>
    <xf numFmtId="0" fontId="136" fillId="0" borderId="38" xfId="0" applyFont="1" applyBorder="1" applyAlignment="1">
      <alignment horizontal="center"/>
    </xf>
    <xf numFmtId="0" fontId="133" fillId="0" borderId="40" xfId="0" applyFont="1" applyBorder="1" applyAlignment="1">
      <alignment horizontal="center" vertical="center" wrapText="1"/>
    </xf>
    <xf numFmtId="0" fontId="133" fillId="0" borderId="21" xfId="0" applyFont="1" applyBorder="1" applyAlignment="1">
      <alignment vertical="center" wrapText="1"/>
    </xf>
    <xf numFmtId="4" fontId="133" fillId="0" borderId="21" xfId="181" applyNumberFormat="1" applyFont="1" applyFill="1" applyBorder="1" applyAlignment="1" applyProtection="1">
      <alignment vertical="center" wrapText="1"/>
    </xf>
    <xf numFmtId="4" fontId="133" fillId="0" borderId="39" xfId="181" applyNumberFormat="1" applyFont="1" applyFill="1" applyBorder="1" applyAlignment="1" applyProtection="1">
      <alignment vertical="center" wrapText="1"/>
    </xf>
    <xf numFmtId="0" fontId="136" fillId="0" borderId="38" xfId="0" applyFont="1" applyBorder="1" applyAlignment="1">
      <alignment horizontal="center" vertical="center" wrapText="1"/>
    </xf>
    <xf numFmtId="0" fontId="17" fillId="0" borderId="41" xfId="0" applyFont="1" applyBorder="1"/>
    <xf numFmtId="0" fontId="17" fillId="0" borderId="42" xfId="0" applyFont="1" applyBorder="1"/>
    <xf numFmtId="0" fontId="17" fillId="0" borderId="43" xfId="0" applyFont="1" applyBorder="1"/>
    <xf numFmtId="0" fontId="30" fillId="0" borderId="41" xfId="0" applyFont="1" applyBorder="1" applyAlignment="1">
      <alignment horizontal="center"/>
    </xf>
    <xf numFmtId="0" fontId="132" fillId="0" borderId="42" xfId="0" applyFont="1" applyBorder="1" applyAlignment="1">
      <alignment horizontal="center"/>
    </xf>
    <xf numFmtId="4" fontId="132" fillId="0" borderId="21" xfId="181" applyNumberFormat="1" applyFont="1" applyFill="1" applyBorder="1" applyAlignment="1" applyProtection="1"/>
    <xf numFmtId="4" fontId="132" fillId="0" borderId="39" xfId="181" applyNumberFormat="1" applyFont="1" applyFill="1" applyBorder="1" applyAlignment="1" applyProtection="1"/>
    <xf numFmtId="0" fontId="30" fillId="0" borderId="38" xfId="0" applyFont="1" applyBorder="1" applyAlignment="1">
      <alignment horizontal="center"/>
    </xf>
    <xf numFmtId="0" fontId="30" fillId="0" borderId="21" xfId="0" applyFont="1" applyBorder="1"/>
    <xf numFmtId="4" fontId="30" fillId="0" borderId="21" xfId="181" applyNumberFormat="1" applyFont="1" applyFill="1" applyBorder="1" applyAlignment="1" applyProtection="1"/>
    <xf numFmtId="4" fontId="30" fillId="0" borderId="39" xfId="181" applyNumberFormat="1" applyFont="1" applyFill="1" applyBorder="1" applyAlignment="1" applyProtection="1"/>
    <xf numFmtId="0" fontId="30" fillId="0" borderId="44" xfId="0" applyFont="1" applyBorder="1" applyAlignment="1">
      <alignment horizontal="center"/>
    </xf>
    <xf numFmtId="0" fontId="137" fillId="0" borderId="42" xfId="0" applyFont="1" applyBorder="1" applyAlignment="1">
      <alignment horizontal="left"/>
    </xf>
    <xf numFmtId="4" fontId="137" fillId="0" borderId="21" xfId="181" applyNumberFormat="1" applyFont="1" applyFill="1" applyBorder="1" applyAlignment="1" applyProtection="1"/>
    <xf numFmtId="4" fontId="137" fillId="0" borderId="39" xfId="181" applyNumberFormat="1" applyFont="1" applyFill="1" applyBorder="1" applyAlignment="1" applyProtection="1"/>
    <xf numFmtId="0" fontId="138" fillId="0" borderId="44" xfId="0" applyFont="1" applyBorder="1" applyAlignment="1">
      <alignment horizontal="center" vertical="center" wrapText="1"/>
    </xf>
    <xf numFmtId="0" fontId="138" fillId="0" borderId="21" xfId="0" applyFont="1" applyBorder="1" applyAlignment="1">
      <alignment horizontal="left" vertical="center" wrapText="1"/>
    </xf>
    <xf numFmtId="4" fontId="139" fillId="0" borderId="21" xfId="181" applyNumberFormat="1" applyFont="1" applyFill="1" applyBorder="1" applyAlignment="1" applyProtection="1">
      <alignment vertical="center" wrapText="1"/>
    </xf>
    <xf numFmtId="4" fontId="140" fillId="0" borderId="21" xfId="181" applyNumberFormat="1" applyFont="1" applyFill="1" applyBorder="1" applyAlignment="1" applyProtection="1">
      <alignment horizontal="right" vertical="center" wrapText="1"/>
    </xf>
    <xf numFmtId="4" fontId="139" fillId="0" borderId="39" xfId="181" applyNumberFormat="1" applyFont="1" applyFill="1" applyBorder="1" applyAlignment="1" applyProtection="1">
      <alignment vertical="center" wrapText="1"/>
    </xf>
    <xf numFmtId="0" fontId="138" fillId="0" borderId="38" xfId="0" applyFont="1" applyBorder="1" applyAlignment="1">
      <alignment horizontal="center" vertical="center" wrapText="1"/>
    </xf>
    <xf numFmtId="0" fontId="138" fillId="0" borderId="21" xfId="0" applyFont="1" applyBorder="1" applyAlignment="1">
      <alignment vertical="center" wrapText="1"/>
    </xf>
    <xf numFmtId="4" fontId="138" fillId="0" borderId="21" xfId="181" applyNumberFormat="1" applyFont="1" applyFill="1" applyBorder="1" applyAlignment="1" applyProtection="1">
      <alignment vertical="center" wrapText="1"/>
    </xf>
    <xf numFmtId="4" fontId="138" fillId="0" borderId="39" xfId="181" applyNumberFormat="1" applyFont="1" applyFill="1" applyBorder="1" applyAlignment="1" applyProtection="1">
      <alignment vertical="center" wrapText="1"/>
    </xf>
    <xf numFmtId="4" fontId="130" fillId="0" borderId="0" xfId="0" applyNumberFormat="1" applyFont="1" applyAlignment="1">
      <alignment vertical="center" wrapText="1"/>
    </xf>
    <xf numFmtId="0" fontId="130" fillId="0" borderId="0" xfId="0" applyFont="1" applyAlignment="1">
      <alignment vertical="center" wrapText="1"/>
    </xf>
    <xf numFmtId="0" fontId="138" fillId="0" borderId="44" xfId="0" applyFont="1" applyBorder="1" applyAlignment="1">
      <alignment horizontal="center"/>
    </xf>
    <xf numFmtId="4" fontId="139" fillId="0" borderId="45" xfId="181" applyNumberFormat="1" applyFont="1" applyFill="1" applyBorder="1" applyAlignment="1" applyProtection="1"/>
    <xf numFmtId="4" fontId="140" fillId="0" borderId="45" xfId="181" applyNumberFormat="1" applyFont="1" applyFill="1" applyBorder="1" applyAlignment="1" applyProtection="1"/>
    <xf numFmtId="4" fontId="139" fillId="0" borderId="46" xfId="181" applyNumberFormat="1" applyFont="1" applyFill="1" applyBorder="1" applyAlignment="1" applyProtection="1"/>
    <xf numFmtId="0" fontId="138" fillId="0" borderId="47" xfId="0" applyFont="1" applyBorder="1" applyAlignment="1">
      <alignment horizontal="center"/>
    </xf>
    <xf numFmtId="0" fontId="138" fillId="0" borderId="45" xfId="0" applyFont="1" applyBorder="1"/>
    <xf numFmtId="4" fontId="138" fillId="0" borderId="45" xfId="181" applyNumberFormat="1" applyFont="1" applyFill="1" applyBorder="1" applyAlignment="1" applyProtection="1"/>
    <xf numFmtId="4" fontId="138" fillId="0" borderId="46" xfId="181" applyNumberFormat="1" applyFont="1" applyFill="1" applyBorder="1" applyAlignment="1" applyProtection="1"/>
    <xf numFmtId="4" fontId="130" fillId="0" borderId="0" xfId="0" applyNumberFormat="1" applyFont="1"/>
    <xf numFmtId="0" fontId="130" fillId="0" borderId="0" xfId="0" applyFont="1"/>
    <xf numFmtId="0" fontId="132" fillId="0" borderId="48" xfId="0" applyFont="1" applyBorder="1" applyAlignment="1">
      <alignment horizontal="center"/>
    </xf>
    <xf numFmtId="0" fontId="141" fillId="0" borderId="49" xfId="0" applyFont="1" applyBorder="1"/>
    <xf numFmtId="4" fontId="132" fillId="0" borderId="49" xfId="181" applyNumberFormat="1" applyFont="1" applyFill="1" applyBorder="1" applyAlignment="1" applyProtection="1"/>
    <xf numFmtId="4" fontId="132" fillId="0" borderId="50" xfId="181" applyNumberFormat="1" applyFont="1" applyFill="1" applyBorder="1" applyAlignment="1" applyProtection="1"/>
    <xf numFmtId="0" fontId="132" fillId="0" borderId="51" xfId="0" applyFont="1" applyBorder="1" applyAlignment="1">
      <alignment horizontal="center"/>
    </xf>
    <xf numFmtId="0" fontId="141" fillId="0" borderId="49" xfId="0" applyFont="1" applyBorder="1" applyAlignment="1">
      <alignment horizontal="left"/>
    </xf>
    <xf numFmtId="0" fontId="17" fillId="0" borderId="22" xfId="0" applyFont="1" applyBorder="1" applyAlignment="1">
      <alignment horizontal="center"/>
    </xf>
    <xf numFmtId="3" fontId="30" fillId="0" borderId="22" xfId="0" applyNumberFormat="1" applyFont="1" applyBorder="1"/>
    <xf numFmtId="0" fontId="17" fillId="0" borderId="0" xfId="0" applyFont="1" applyBorder="1" applyAlignment="1">
      <alignment horizontal="center"/>
    </xf>
    <xf numFmtId="0" fontId="17" fillId="0" borderId="0" xfId="0" applyFont="1" applyFill="1" applyBorder="1" applyAlignment="1">
      <alignment horizontal="center"/>
    </xf>
    <xf numFmtId="3" fontId="30" fillId="0" borderId="0" xfId="0" applyNumberFormat="1" applyFont="1" applyBorder="1"/>
    <xf numFmtId="3" fontId="17" fillId="0" borderId="0" xfId="0" applyNumberFormat="1" applyFont="1" applyAlignment="1">
      <alignment horizontal="center"/>
    </xf>
    <xf numFmtId="0" fontId="142" fillId="0" borderId="0" xfId="0" applyFont="1" applyFill="1" applyBorder="1" applyAlignment="1">
      <alignment horizontal="center"/>
    </xf>
    <xf numFmtId="3" fontId="142" fillId="0" borderId="0" xfId="0" applyNumberFormat="1" applyFont="1" applyAlignment="1">
      <alignment horizontal="center"/>
    </xf>
    <xf numFmtId="0" fontId="130" fillId="0" borderId="0" xfId="0" applyFont="1" applyFill="1" applyBorder="1"/>
    <xf numFmtId="4" fontId="30" fillId="0" borderId="0" xfId="0" applyNumberFormat="1" applyFont="1"/>
    <xf numFmtId="0" fontId="142" fillId="0" borderId="0" xfId="0" applyFont="1" applyAlignment="1">
      <alignment horizontal="center"/>
    </xf>
    <xf numFmtId="3" fontId="142" fillId="0" borderId="0" xfId="0" applyNumberFormat="1" applyFont="1"/>
    <xf numFmtId="0" fontId="142" fillId="0" borderId="0" xfId="0" applyFont="1"/>
    <xf numFmtId="226" fontId="142" fillId="34" borderId="0" xfId="0" applyNumberFormat="1" applyFont="1" applyFill="1" applyAlignment="1">
      <alignment horizontal="center"/>
    </xf>
    <xf numFmtId="226" fontId="143" fillId="0" borderId="0" xfId="0" applyNumberFormat="1" applyFont="1"/>
    <xf numFmtId="4" fontId="142" fillId="0" borderId="0" xfId="0" applyNumberFormat="1" applyFont="1"/>
    <xf numFmtId="3" fontId="17" fillId="34" borderId="0" xfId="0" applyNumberFormat="1" applyFont="1" applyFill="1"/>
    <xf numFmtId="4" fontId="28" fillId="0" borderId="0" xfId="0" applyNumberFormat="1" applyFont="1"/>
    <xf numFmtId="4" fontId="19" fillId="0" borderId="0" xfId="0" applyNumberFormat="1" applyFont="1"/>
    <xf numFmtId="0" fontId="17" fillId="0" borderId="0" xfId="371" applyFont="1"/>
    <xf numFmtId="4" fontId="17" fillId="0" borderId="0" xfId="371" applyNumberFormat="1" applyFont="1"/>
    <xf numFmtId="0" fontId="130" fillId="0" borderId="0" xfId="371" applyFont="1" applyAlignment="1">
      <alignment horizontal="right"/>
    </xf>
    <xf numFmtId="188" fontId="17" fillId="0" borderId="0" xfId="222" applyFont="1" applyFill="1" applyBorder="1" applyAlignment="1" applyProtection="1">
      <alignment horizontal="right"/>
    </xf>
    <xf numFmtId="227" fontId="17" fillId="0" borderId="0" xfId="371" applyNumberFormat="1" applyFont="1" applyAlignment="1"/>
    <xf numFmtId="0" fontId="28" fillId="0" borderId="25" xfId="371" applyFont="1" applyFill="1" applyBorder="1" applyAlignment="1">
      <alignment horizontal="center"/>
    </xf>
    <xf numFmtId="0" fontId="28" fillId="0" borderId="52" xfId="371" applyFont="1" applyFill="1" applyBorder="1" applyAlignment="1">
      <alignment horizontal="center"/>
    </xf>
    <xf numFmtId="0" fontId="28" fillId="0" borderId="53" xfId="371" applyFont="1" applyFill="1" applyBorder="1" applyAlignment="1">
      <alignment horizontal="center"/>
    </xf>
    <xf numFmtId="0" fontId="28" fillId="0" borderId="54" xfId="371" applyFont="1" applyFill="1" applyBorder="1" applyAlignment="1">
      <alignment horizontal="center"/>
    </xf>
    <xf numFmtId="183" fontId="17" fillId="0" borderId="0" xfId="371" applyNumberFormat="1" applyFont="1"/>
    <xf numFmtId="227" fontId="17" fillId="0" borderId="0" xfId="371" applyNumberFormat="1" applyFont="1"/>
    <xf numFmtId="0" fontId="17" fillId="0" borderId="0" xfId="371" applyFont="1" applyFill="1"/>
    <xf numFmtId="0" fontId="17" fillId="0" borderId="0" xfId="371" applyFont="1" applyAlignment="1">
      <alignment vertical="center" wrapText="1"/>
    </xf>
    <xf numFmtId="0" fontId="142" fillId="0" borderId="0" xfId="371" applyFont="1"/>
    <xf numFmtId="229" fontId="17" fillId="0" borderId="0" xfId="181" applyNumberFormat="1" applyFont="1" applyFill="1" applyBorder="1" applyAlignment="1" applyProtection="1"/>
    <xf numFmtId="0" fontId="69" fillId="0" borderId="0" xfId="371" applyFont="1"/>
    <xf numFmtId="0" fontId="17" fillId="0" borderId="0" xfId="371" applyFont="1" applyAlignment="1">
      <alignment horizontal="center"/>
    </xf>
    <xf numFmtId="0" fontId="147" fillId="0" borderId="0" xfId="371" applyFont="1" applyAlignment="1">
      <alignment horizontal="center"/>
    </xf>
    <xf numFmtId="4" fontId="147" fillId="0" borderId="0" xfId="371" applyNumberFormat="1" applyFont="1" applyAlignment="1">
      <alignment horizontal="center"/>
    </xf>
    <xf numFmtId="0" fontId="69" fillId="0" borderId="0" xfId="371" applyFont="1" applyAlignment="1"/>
    <xf numFmtId="0" fontId="142" fillId="0" borderId="0" xfId="371" applyFont="1" applyAlignment="1">
      <alignment horizontal="center"/>
    </xf>
    <xf numFmtId="3" fontId="142" fillId="0" borderId="0" xfId="371" applyNumberFormat="1" applyFont="1" applyAlignment="1">
      <alignment horizontal="center"/>
    </xf>
    <xf numFmtId="4" fontId="142" fillId="0" borderId="0" xfId="371" applyNumberFormat="1" applyFont="1" applyAlignment="1">
      <alignment horizontal="center"/>
    </xf>
    <xf numFmtId="0" fontId="17" fillId="0" borderId="0" xfId="371" applyFont="1" applyAlignment="1"/>
    <xf numFmtId="3" fontId="17" fillId="0" borderId="0" xfId="371" applyNumberFormat="1" applyFont="1"/>
    <xf numFmtId="49" fontId="30" fillId="0" borderId="3" xfId="371" applyNumberFormat="1" applyFont="1" applyFill="1" applyBorder="1" applyAlignment="1">
      <alignment horizontal="center"/>
    </xf>
    <xf numFmtId="230" fontId="17" fillId="34" borderId="0" xfId="371" applyNumberFormat="1" applyFont="1" applyFill="1"/>
    <xf numFmtId="227" fontId="17" fillId="34" borderId="0" xfId="371" applyNumberFormat="1" applyFont="1" applyFill="1" applyAlignment="1">
      <alignment vertical="center" wrapText="1"/>
    </xf>
    <xf numFmtId="184" fontId="17" fillId="0" borderId="0" xfId="371" applyNumberFormat="1" applyFont="1"/>
    <xf numFmtId="4" fontId="145" fillId="0" borderId="0" xfId="371" applyNumberFormat="1" applyFont="1"/>
    <xf numFmtId="0" fontId="145" fillId="0" borderId="0" xfId="371" applyFont="1"/>
    <xf numFmtId="231" fontId="17" fillId="0" borderId="0" xfId="371" applyNumberFormat="1" applyFont="1"/>
    <xf numFmtId="227" fontId="147" fillId="0" borderId="0" xfId="371" applyNumberFormat="1" applyFont="1" applyAlignment="1">
      <alignment horizontal="center"/>
    </xf>
    <xf numFmtId="1" fontId="17" fillId="0" borderId="0" xfId="0" applyNumberFormat="1" applyFont="1" applyFill="1"/>
    <xf numFmtId="0" fontId="17" fillId="0" borderId="0" xfId="0" applyFont="1" applyFill="1"/>
    <xf numFmtId="0" fontId="130" fillId="0" borderId="0" xfId="0" applyFont="1" applyFill="1" applyAlignment="1">
      <alignment horizontal="right"/>
    </xf>
    <xf numFmtId="0" fontId="17" fillId="0" borderId="0" xfId="0" applyFont="1" applyFill="1" applyAlignment="1">
      <alignment horizontal="center"/>
    </xf>
    <xf numFmtId="4" fontId="17" fillId="0" borderId="0" xfId="0" applyNumberFormat="1" applyFont="1" applyFill="1"/>
    <xf numFmtId="1" fontId="17" fillId="0" borderId="25" xfId="0" applyNumberFormat="1" applyFont="1" applyFill="1" applyBorder="1"/>
    <xf numFmtId="1" fontId="28" fillId="0" borderId="52" xfId="0" applyNumberFormat="1" applyFont="1" applyFill="1" applyBorder="1" applyAlignment="1">
      <alignment horizontal="center"/>
    </xf>
    <xf numFmtId="1" fontId="28" fillId="0" borderId="0" xfId="0" applyNumberFormat="1" applyFont="1" applyFill="1" applyBorder="1" applyAlignment="1">
      <alignment horizontal="center"/>
    </xf>
    <xf numFmtId="1" fontId="17" fillId="0" borderId="13" xfId="0" applyNumberFormat="1" applyFont="1" applyFill="1" applyBorder="1" applyAlignment="1">
      <alignment horizontal="center"/>
    </xf>
    <xf numFmtId="1" fontId="28" fillId="0" borderId="13" xfId="0" applyNumberFormat="1" applyFont="1" applyFill="1" applyBorder="1" applyAlignment="1">
      <alignment horizontal="center"/>
    </xf>
    <xf numFmtId="2" fontId="17" fillId="0" borderId="13" xfId="0" applyNumberFormat="1" applyFont="1" applyFill="1" applyBorder="1"/>
    <xf numFmtId="232" fontId="149" fillId="0" borderId="3" xfId="0" applyNumberFormat="1" applyFont="1" applyFill="1" applyBorder="1" applyAlignment="1">
      <alignment horizontal="center"/>
    </xf>
    <xf numFmtId="232" fontId="150" fillId="0" borderId="3" xfId="0" applyNumberFormat="1" applyFont="1" applyFill="1" applyBorder="1" applyAlignment="1">
      <alignment horizontal="center"/>
    </xf>
    <xf numFmtId="1" fontId="149" fillId="0" borderId="3" xfId="0" applyNumberFormat="1" applyFont="1" applyFill="1" applyBorder="1" applyAlignment="1">
      <alignment horizontal="center"/>
    </xf>
    <xf numFmtId="0" fontId="149" fillId="0" borderId="3" xfId="0" applyFont="1" applyFill="1" applyBorder="1" applyAlignment="1">
      <alignment horizontal="center"/>
    </xf>
    <xf numFmtId="0" fontId="149" fillId="0" borderId="0" xfId="0" applyFont="1" applyFill="1" applyBorder="1" applyAlignment="1">
      <alignment horizontal="center"/>
    </xf>
    <xf numFmtId="1" fontId="143" fillId="0" borderId="14" xfId="0" applyNumberFormat="1" applyFont="1" applyFill="1" applyBorder="1" applyAlignment="1">
      <alignment horizontal="center"/>
    </xf>
    <xf numFmtId="4" fontId="143" fillId="0" borderId="14" xfId="181" applyNumberFormat="1" applyFont="1" applyFill="1" applyBorder="1" applyAlignment="1" applyProtection="1"/>
    <xf numFmtId="4" fontId="143" fillId="0" borderId="21" xfId="181" applyNumberFormat="1" applyFont="1" applyFill="1" applyBorder="1" applyAlignment="1" applyProtection="1"/>
    <xf numFmtId="225" fontId="149" fillId="0" borderId="0" xfId="181" applyFont="1" applyFill="1" applyBorder="1" applyAlignment="1" applyProtection="1">
      <alignment horizontal="center"/>
    </xf>
    <xf numFmtId="1" fontId="143" fillId="0" borderId="21" xfId="0" applyNumberFormat="1" applyFont="1" applyFill="1" applyBorder="1"/>
    <xf numFmtId="225" fontId="143" fillId="0" borderId="0" xfId="181" applyFont="1" applyFill="1" applyBorder="1" applyAlignment="1" applyProtection="1"/>
    <xf numFmtId="233" fontId="17" fillId="0" borderId="0" xfId="0" applyNumberFormat="1" applyFont="1" applyFill="1"/>
    <xf numFmtId="4" fontId="142" fillId="34" borderId="0" xfId="0" applyNumberFormat="1" applyFont="1" applyFill="1"/>
    <xf numFmtId="0" fontId="142" fillId="0" borderId="0" xfId="0" applyFont="1" applyFill="1"/>
    <xf numFmtId="4" fontId="143" fillId="0" borderId="21" xfId="181" applyNumberFormat="1" applyFont="1" applyFill="1" applyBorder="1" applyAlignment="1" applyProtection="1">
      <alignment horizontal="right"/>
    </xf>
    <xf numFmtId="228" fontId="142" fillId="0" borderId="0" xfId="0" applyNumberFormat="1" applyFont="1" applyFill="1"/>
    <xf numFmtId="4" fontId="142" fillId="0" borderId="0" xfId="0" applyNumberFormat="1" applyFont="1" applyFill="1"/>
    <xf numFmtId="1" fontId="28" fillId="0" borderId="21" xfId="0" applyNumberFormat="1" applyFont="1" applyFill="1" applyBorder="1" applyAlignment="1">
      <alignment wrapText="1"/>
    </xf>
    <xf numFmtId="4" fontId="28" fillId="0" borderId="21" xfId="181" applyNumberFormat="1" applyFont="1" applyFill="1" applyBorder="1" applyAlignment="1" applyProtection="1"/>
    <xf numFmtId="233" fontId="28" fillId="0" borderId="21" xfId="181" applyNumberFormat="1" applyFont="1" applyFill="1" applyBorder="1" applyAlignment="1" applyProtection="1"/>
    <xf numFmtId="225" fontId="28" fillId="0" borderId="0" xfId="181" applyFont="1" applyFill="1" applyBorder="1" applyAlignment="1" applyProtection="1"/>
    <xf numFmtId="234" fontId="17" fillId="0" borderId="0" xfId="0" applyNumberFormat="1" applyFont="1" applyFill="1"/>
    <xf numFmtId="1" fontId="28" fillId="0" borderId="21" xfId="0" applyNumberFormat="1" applyFont="1" applyFill="1" applyBorder="1"/>
    <xf numFmtId="3" fontId="17" fillId="35" borderId="0" xfId="0" applyNumberFormat="1" applyFont="1" applyFill="1"/>
    <xf numFmtId="4" fontId="17" fillId="34" borderId="0" xfId="0" applyNumberFormat="1" applyFont="1" applyFill="1"/>
    <xf numFmtId="234" fontId="17" fillId="35" borderId="0" xfId="0" applyNumberFormat="1" applyFont="1" applyFill="1"/>
    <xf numFmtId="184" fontId="17" fillId="0" borderId="0" xfId="0" applyNumberFormat="1" applyFont="1" applyFill="1"/>
    <xf numFmtId="39" fontId="17" fillId="35" borderId="0" xfId="0" applyNumberFormat="1" applyFont="1" applyFill="1"/>
    <xf numFmtId="4" fontId="28" fillId="0" borderId="21" xfId="181" applyNumberFormat="1" applyFont="1" applyFill="1" applyBorder="1" applyAlignment="1" applyProtection="1">
      <alignment horizontal="right"/>
    </xf>
    <xf numFmtId="225" fontId="17" fillId="34" borderId="0" xfId="0" applyNumberFormat="1" applyFont="1" applyFill="1"/>
    <xf numFmtId="225" fontId="17" fillId="0" borderId="0" xfId="0" applyNumberFormat="1" applyFont="1" applyFill="1"/>
    <xf numFmtId="225" fontId="132" fillId="0" borderId="0" xfId="181" applyFont="1" applyFill="1" applyBorder="1" applyAlignment="1" applyProtection="1"/>
    <xf numFmtId="234" fontId="142" fillId="0" borderId="0" xfId="0" applyNumberFormat="1" applyFont="1" applyFill="1"/>
    <xf numFmtId="225" fontId="30" fillId="0" borderId="0" xfId="181" applyFont="1" applyFill="1" applyBorder="1" applyAlignment="1" applyProtection="1"/>
    <xf numFmtId="1" fontId="143" fillId="0" borderId="21" xfId="0" applyNumberFormat="1" applyFont="1" applyFill="1" applyBorder="1" applyAlignment="1">
      <alignment horizontal="left"/>
    </xf>
    <xf numFmtId="1" fontId="143" fillId="0" borderId="21" xfId="0" applyNumberFormat="1" applyFont="1" applyFill="1" applyBorder="1" applyAlignment="1">
      <alignment wrapText="1"/>
    </xf>
    <xf numFmtId="1" fontId="151" fillId="0" borderId="21" xfId="0" applyNumberFormat="1" applyFont="1" applyFill="1" applyBorder="1"/>
    <xf numFmtId="4" fontId="151" fillId="0" borderId="21" xfId="181" applyNumberFormat="1" applyFont="1" applyFill="1" applyBorder="1" applyAlignment="1" applyProtection="1"/>
    <xf numFmtId="1" fontId="151" fillId="34" borderId="21" xfId="0" applyNumberFormat="1" applyFont="1" applyFill="1" applyBorder="1"/>
    <xf numFmtId="4" fontId="151" fillId="34" borderId="21" xfId="181" applyNumberFormat="1" applyFont="1" applyFill="1" applyBorder="1" applyAlignment="1" applyProtection="1"/>
    <xf numFmtId="4" fontId="151" fillId="34" borderId="21" xfId="181" applyNumberFormat="1" applyFont="1" applyFill="1" applyBorder="1" applyAlignment="1" applyProtection="1">
      <alignment horizontal="right"/>
    </xf>
    <xf numFmtId="225" fontId="28" fillId="34" borderId="0" xfId="181" applyFont="1" applyFill="1" applyBorder="1" applyAlignment="1" applyProtection="1"/>
    <xf numFmtId="1" fontId="28" fillId="34" borderId="21" xfId="0" applyNumberFormat="1" applyFont="1" applyFill="1" applyBorder="1"/>
    <xf numFmtId="4" fontId="28" fillId="34" borderId="21" xfId="181" applyNumberFormat="1" applyFont="1" applyFill="1" applyBorder="1" applyAlignment="1" applyProtection="1"/>
    <xf numFmtId="4" fontId="28" fillId="34" borderId="21" xfId="181" applyNumberFormat="1" applyFont="1" applyFill="1" applyBorder="1" applyAlignment="1" applyProtection="1">
      <alignment horizontal="right"/>
    </xf>
    <xf numFmtId="1" fontId="143" fillId="0" borderId="42" xfId="0" applyNumberFormat="1" applyFont="1" applyFill="1" applyBorder="1"/>
    <xf numFmtId="4" fontId="143" fillId="0" borderId="42" xfId="181" applyNumberFormat="1" applyFont="1" applyFill="1" applyBorder="1" applyAlignment="1" applyProtection="1"/>
    <xf numFmtId="4" fontId="143" fillId="0" borderId="42" xfId="181" applyNumberFormat="1" applyFont="1" applyFill="1" applyBorder="1" applyAlignment="1" applyProtection="1">
      <alignment horizontal="right"/>
    </xf>
    <xf numFmtId="4" fontId="28" fillId="0" borderId="42" xfId="181" applyNumberFormat="1" applyFont="1" applyFill="1" applyBorder="1" applyAlignment="1" applyProtection="1"/>
    <xf numFmtId="1" fontId="143" fillId="0" borderId="3" xfId="0" applyNumberFormat="1" applyFont="1" applyFill="1" applyBorder="1"/>
    <xf numFmtId="4" fontId="143" fillId="0" borderId="3" xfId="181" applyNumberFormat="1" applyFont="1" applyFill="1" applyBorder="1" applyAlignment="1" applyProtection="1"/>
    <xf numFmtId="4" fontId="143" fillId="0" borderId="3" xfId="181" applyNumberFormat="1" applyFont="1" applyFill="1" applyBorder="1" applyAlignment="1" applyProtection="1">
      <alignment horizontal="right"/>
    </xf>
    <xf numFmtId="4" fontId="28" fillId="0" borderId="3" xfId="181" applyNumberFormat="1" applyFont="1" applyFill="1" applyBorder="1" applyAlignment="1" applyProtection="1"/>
    <xf numFmtId="1" fontId="152" fillId="34" borderId="3" xfId="0" applyNumberFormat="1" applyFont="1" applyFill="1" applyBorder="1"/>
    <xf numFmtId="4" fontId="143" fillId="34" borderId="3" xfId="181" applyNumberFormat="1" applyFont="1" applyFill="1" applyBorder="1" applyAlignment="1" applyProtection="1"/>
    <xf numFmtId="4" fontId="143" fillId="34" borderId="3" xfId="181" applyNumberFormat="1" applyFont="1" applyFill="1" applyBorder="1" applyAlignment="1" applyProtection="1">
      <alignment horizontal="right"/>
    </xf>
    <xf numFmtId="225" fontId="143" fillId="34" borderId="0" xfId="181" applyFont="1" applyFill="1" applyBorder="1" applyAlignment="1" applyProtection="1"/>
    <xf numFmtId="0" fontId="142" fillId="34" borderId="0" xfId="0" applyFont="1" applyFill="1"/>
    <xf numFmtId="1" fontId="152" fillId="0" borderId="3" xfId="0" applyNumberFormat="1" applyFont="1" applyFill="1" applyBorder="1"/>
    <xf numFmtId="4" fontId="28" fillId="0" borderId="3" xfId="181" applyNumberFormat="1" applyFont="1" applyFill="1" applyBorder="1" applyAlignment="1" applyProtection="1">
      <alignment horizontal="right"/>
    </xf>
    <xf numFmtId="1" fontId="28" fillId="0" borderId="3" xfId="0" applyNumberFormat="1" applyFont="1" applyFill="1" applyBorder="1"/>
    <xf numFmtId="4" fontId="28" fillId="0" borderId="3" xfId="181" applyNumberFormat="1" applyFont="1" applyFill="1" applyBorder="1" applyAlignment="1" applyProtection="1">
      <alignment vertical="center"/>
    </xf>
    <xf numFmtId="206" fontId="28" fillId="0" borderId="3" xfId="181" applyNumberFormat="1" applyFont="1" applyFill="1" applyBorder="1" applyAlignment="1" applyProtection="1"/>
    <xf numFmtId="0" fontId="28" fillId="0" borderId="3" xfId="371" applyFont="1" applyFill="1" applyBorder="1"/>
    <xf numFmtId="4" fontId="28" fillId="23" borderId="3" xfId="181" applyNumberFormat="1" applyFont="1" applyFill="1" applyBorder="1" applyAlignment="1" applyProtection="1"/>
    <xf numFmtId="4" fontId="28" fillId="23" borderId="3" xfId="181" applyNumberFormat="1" applyFont="1" applyFill="1" applyBorder="1" applyAlignment="1" applyProtection="1">
      <alignment horizontal="right"/>
    </xf>
    <xf numFmtId="174" fontId="28" fillId="0" borderId="0" xfId="220" applyFont="1" applyFill="1" applyBorder="1" applyAlignment="1" applyProtection="1"/>
    <xf numFmtId="0" fontId="28" fillId="0" borderId="3" xfId="371" applyFont="1" applyFill="1" applyBorder="1" applyAlignment="1">
      <alignment vertical="center" wrapText="1"/>
    </xf>
    <xf numFmtId="206" fontId="28" fillId="0" borderId="3" xfId="181" applyNumberFormat="1" applyFont="1" applyFill="1" applyBorder="1" applyAlignment="1" applyProtection="1">
      <alignment vertical="center" wrapText="1"/>
    </xf>
    <xf numFmtId="4" fontId="28" fillId="0" borderId="3" xfId="181" applyNumberFormat="1" applyFont="1" applyFill="1" applyBorder="1" applyAlignment="1" applyProtection="1">
      <alignment vertical="center" wrapText="1"/>
    </xf>
    <xf numFmtId="4" fontId="28" fillId="0" borderId="3" xfId="181" applyNumberFormat="1" applyFont="1" applyFill="1" applyBorder="1" applyAlignment="1" applyProtection="1">
      <alignment horizontal="right" vertical="center" wrapText="1"/>
    </xf>
    <xf numFmtId="174" fontId="28" fillId="0" borderId="0" xfId="220" applyFont="1" applyFill="1" applyBorder="1" applyAlignment="1" applyProtection="1">
      <alignment vertical="center" wrapText="1"/>
    </xf>
    <xf numFmtId="0" fontId="17" fillId="0" borderId="0" xfId="0" applyFont="1" applyFill="1" applyAlignment="1">
      <alignment vertical="center" wrapText="1"/>
    </xf>
    <xf numFmtId="4" fontId="17" fillId="0" borderId="0" xfId="0" applyNumberFormat="1" applyFont="1" applyFill="1" applyAlignment="1">
      <alignment vertical="center" wrapText="1"/>
    </xf>
    <xf numFmtId="0" fontId="152" fillId="0" borderId="3" xfId="371" applyFont="1" applyFill="1" applyBorder="1"/>
    <xf numFmtId="206" fontId="143" fillId="0" borderId="3" xfId="181" applyNumberFormat="1" applyFont="1" applyFill="1" applyBorder="1" applyAlignment="1" applyProtection="1"/>
    <xf numFmtId="174" fontId="143" fillId="0" borderId="0" xfId="220" applyFont="1" applyFill="1" applyBorder="1" applyAlignment="1" applyProtection="1"/>
    <xf numFmtId="1" fontId="143" fillId="0" borderId="3" xfId="0" applyNumberFormat="1" applyFont="1" applyFill="1" applyBorder="1" applyAlignment="1">
      <alignment horizontal="center"/>
    </xf>
    <xf numFmtId="1" fontId="143" fillId="0" borderId="3" xfId="0" applyNumberFormat="1" applyFont="1" applyFill="1" applyBorder="1" applyAlignment="1">
      <alignment horizontal="left"/>
    </xf>
    <xf numFmtId="228" fontId="143" fillId="0" borderId="3" xfId="220" applyNumberFormat="1" applyFont="1" applyFill="1" applyBorder="1" applyAlignment="1" applyProtection="1"/>
    <xf numFmtId="229" fontId="143" fillId="0" borderId="3" xfId="181" applyNumberFormat="1" applyFont="1" applyFill="1" applyBorder="1" applyAlignment="1" applyProtection="1"/>
    <xf numFmtId="235" fontId="143" fillId="0" borderId="3" xfId="220" applyNumberFormat="1" applyFont="1" applyFill="1" applyBorder="1" applyAlignment="1" applyProtection="1"/>
    <xf numFmtId="174" fontId="28" fillId="0" borderId="3" xfId="220" applyFont="1" applyFill="1" applyBorder="1" applyAlignment="1" applyProtection="1"/>
    <xf numFmtId="1" fontId="143" fillId="0" borderId="0" xfId="0" applyNumberFormat="1" applyFont="1" applyFill="1" applyBorder="1" applyAlignment="1">
      <alignment horizontal="center"/>
    </xf>
    <xf numFmtId="228" fontId="143" fillId="0" borderId="0" xfId="220" applyNumberFormat="1" applyFont="1" applyFill="1" applyBorder="1" applyAlignment="1" applyProtection="1"/>
    <xf numFmtId="229" fontId="143" fillId="0" borderId="0" xfId="181" applyNumberFormat="1" applyFont="1" applyFill="1" applyBorder="1" applyAlignment="1" applyProtection="1"/>
    <xf numFmtId="235" fontId="143" fillId="0" borderId="0" xfId="220" applyNumberFormat="1" applyFont="1" applyFill="1" applyBorder="1" applyAlignment="1" applyProtection="1"/>
    <xf numFmtId="1" fontId="69" fillId="0" borderId="0" xfId="0" applyNumberFormat="1" applyFont="1" applyFill="1" applyBorder="1" applyAlignment="1">
      <alignment horizontal="center"/>
    </xf>
    <xf numFmtId="235" fontId="69" fillId="0" borderId="0" xfId="220" applyNumberFormat="1" applyFont="1" applyFill="1" applyBorder="1" applyAlignment="1" applyProtection="1">
      <alignment horizontal="center"/>
    </xf>
    <xf numFmtId="1" fontId="153" fillId="0" borderId="0" xfId="0" applyNumberFormat="1" applyFont="1" applyFill="1" applyBorder="1" applyAlignment="1">
      <alignment horizontal="center"/>
    </xf>
    <xf numFmtId="228" fontId="153" fillId="0" borderId="0" xfId="220" applyNumberFormat="1" applyFont="1" applyFill="1" applyBorder="1" applyAlignment="1" applyProtection="1"/>
    <xf numFmtId="235" fontId="153" fillId="0" borderId="0" xfId="220" applyNumberFormat="1" applyFont="1" applyFill="1" applyBorder="1" applyAlignment="1" applyProtection="1">
      <alignment horizontal="center"/>
    </xf>
    <xf numFmtId="235" fontId="153" fillId="0" borderId="0" xfId="220" applyNumberFormat="1" applyFont="1" applyFill="1" applyBorder="1" applyAlignment="1" applyProtection="1"/>
    <xf numFmtId="1" fontId="17" fillId="0" borderId="0" xfId="0" applyNumberFormat="1" applyFont="1" applyFill="1" applyAlignment="1">
      <alignment horizontal="center"/>
    </xf>
    <xf numFmtId="1" fontId="142" fillId="0" borderId="0" xfId="0" applyNumberFormat="1" applyFont="1" applyFill="1" applyAlignment="1">
      <alignment horizontal="center"/>
    </xf>
    <xf numFmtId="1" fontId="143" fillId="0" borderId="0" xfId="0" applyNumberFormat="1" applyFont="1" applyFill="1" applyAlignment="1">
      <alignment horizontal="center"/>
    </xf>
    <xf numFmtId="3" fontId="142" fillId="0" borderId="0" xfId="0" applyNumberFormat="1" applyFont="1" applyFill="1" applyAlignment="1">
      <alignment horizontal="center"/>
    </xf>
    <xf numFmtId="1" fontId="143" fillId="0" borderId="0" xfId="0" applyNumberFormat="1" applyFont="1" applyFill="1" applyAlignment="1"/>
    <xf numFmtId="0" fontId="143" fillId="0" borderId="0" xfId="0" applyFont="1" applyFill="1"/>
    <xf numFmtId="236" fontId="17" fillId="0" borderId="0" xfId="181" applyNumberFormat="1" applyFont="1" applyFill="1" applyBorder="1" applyAlignment="1" applyProtection="1"/>
    <xf numFmtId="0" fontId="130" fillId="0" borderId="0" xfId="371" applyFont="1" applyFill="1" applyAlignment="1">
      <alignment horizontal="right"/>
    </xf>
    <xf numFmtId="0" fontId="131" fillId="0" borderId="0" xfId="371" applyFont="1" applyAlignment="1">
      <alignment horizontal="center"/>
    </xf>
    <xf numFmtId="227" fontId="28" fillId="0" borderId="0" xfId="222" applyNumberFormat="1" applyFont="1" applyFill="1" applyBorder="1" applyAlignment="1" applyProtection="1">
      <alignment horizontal="right"/>
    </xf>
    <xf numFmtId="3" fontId="28" fillId="0" borderId="0" xfId="371" applyNumberFormat="1" applyFont="1" applyFill="1" applyAlignment="1"/>
    <xf numFmtId="227" fontId="28" fillId="0" borderId="0" xfId="371" applyNumberFormat="1" applyFont="1" applyFill="1" applyAlignment="1"/>
    <xf numFmtId="188" fontId="28" fillId="0" borderId="0" xfId="371" applyNumberFormat="1" applyFont="1" applyFill="1" applyAlignment="1">
      <alignment horizontal="center"/>
    </xf>
    <xf numFmtId="227" fontId="28" fillId="0" borderId="0" xfId="371" applyNumberFormat="1" applyFont="1" applyFill="1" applyAlignment="1">
      <alignment horizontal="center"/>
    </xf>
    <xf numFmtId="0" fontId="151" fillId="0" borderId="0" xfId="371" applyFont="1" applyFill="1" applyAlignment="1">
      <alignment horizontal="right"/>
    </xf>
    <xf numFmtId="0" fontId="28" fillId="0" borderId="25" xfId="371" applyFont="1" applyBorder="1"/>
    <xf numFmtId="0" fontId="28" fillId="0" borderId="56" xfId="371" applyFont="1" applyFill="1" applyBorder="1" applyAlignment="1">
      <alignment horizontal="center"/>
    </xf>
    <xf numFmtId="0" fontId="143" fillId="0" borderId="13" xfId="371" applyFont="1" applyBorder="1"/>
    <xf numFmtId="0" fontId="143" fillId="0" borderId="57" xfId="371" applyFont="1" applyFill="1" applyBorder="1" applyAlignment="1">
      <alignment horizontal="center"/>
    </xf>
    <xf numFmtId="3" fontId="28" fillId="0" borderId="25" xfId="371" applyNumberFormat="1" applyFont="1" applyFill="1" applyBorder="1" applyAlignment="1">
      <alignment horizontal="center"/>
    </xf>
    <xf numFmtId="0" fontId="154" fillId="0" borderId="3" xfId="371" applyFont="1" applyFill="1" applyBorder="1" applyAlignment="1">
      <alignment horizontal="center"/>
    </xf>
    <xf numFmtId="0" fontId="28" fillId="0" borderId="53" xfId="371" applyFont="1" applyBorder="1"/>
    <xf numFmtId="228" fontId="28" fillId="0" borderId="58" xfId="371" applyNumberFormat="1" applyFont="1" applyFill="1" applyBorder="1" applyAlignment="1">
      <alignment horizontal="center"/>
    </xf>
    <xf numFmtId="3" fontId="28" fillId="0" borderId="53" xfId="371" applyNumberFormat="1" applyFont="1" applyFill="1" applyBorder="1" applyAlignment="1">
      <alignment horizontal="center"/>
    </xf>
    <xf numFmtId="0" fontId="28" fillId="0" borderId="59" xfId="371" applyFont="1" applyFill="1" applyBorder="1" applyAlignment="1">
      <alignment horizontal="center"/>
    </xf>
    <xf numFmtId="49" fontId="28" fillId="0" borderId="53" xfId="371" applyNumberFormat="1" applyFont="1" applyFill="1" applyBorder="1" applyAlignment="1">
      <alignment horizontal="center"/>
    </xf>
    <xf numFmtId="49" fontId="28" fillId="0" borderId="3" xfId="371" applyNumberFormat="1" applyFont="1" applyFill="1" applyBorder="1" applyAlignment="1">
      <alignment horizontal="center"/>
    </xf>
    <xf numFmtId="0" fontId="143" fillId="23" borderId="3" xfId="371" applyFont="1" applyFill="1" applyBorder="1" applyAlignment="1">
      <alignment horizontal="center"/>
    </xf>
    <xf numFmtId="0" fontId="143" fillId="23" borderId="3" xfId="371" applyFont="1" applyFill="1" applyBorder="1" applyAlignment="1"/>
    <xf numFmtId="228" fontId="143" fillId="23" borderId="3" xfId="220" applyNumberFormat="1" applyFont="1" applyFill="1" applyBorder="1" applyAlignment="1" applyProtection="1"/>
    <xf numFmtId="3" fontId="143" fillId="23" borderId="3" xfId="220" applyNumberFormat="1" applyFont="1" applyFill="1" applyBorder="1" applyAlignment="1" applyProtection="1"/>
    <xf numFmtId="4" fontId="143" fillId="23" borderId="3" xfId="181" applyNumberFormat="1" applyFont="1" applyFill="1" applyBorder="1" applyAlignment="1" applyProtection="1">
      <alignment horizontal="right"/>
    </xf>
    <xf numFmtId="174" fontId="143" fillId="0" borderId="14" xfId="220" applyFont="1" applyFill="1" applyBorder="1" applyAlignment="1" applyProtection="1">
      <alignment horizontal="center"/>
    </xf>
    <xf numFmtId="0" fontId="143" fillId="23" borderId="3" xfId="371" applyFont="1" applyFill="1" applyBorder="1"/>
    <xf numFmtId="3" fontId="143" fillId="23" borderId="3" xfId="222" applyNumberFormat="1" applyFont="1" applyFill="1" applyBorder="1" applyAlignment="1" applyProtection="1">
      <alignment horizontal="right"/>
    </xf>
    <xf numFmtId="174" fontId="143" fillId="0" borderId="21" xfId="220" applyFont="1" applyFill="1" applyBorder="1" applyAlignment="1" applyProtection="1">
      <alignment horizontal="right"/>
    </xf>
    <xf numFmtId="0" fontId="143" fillId="23" borderId="3" xfId="371" applyFont="1" applyFill="1" applyBorder="1" applyAlignment="1">
      <alignment wrapText="1"/>
    </xf>
    <xf numFmtId="233" fontId="143" fillId="23" borderId="3" xfId="222" applyNumberFormat="1" applyFont="1" applyFill="1" applyBorder="1" applyAlignment="1" applyProtection="1">
      <alignment horizontal="right"/>
    </xf>
    <xf numFmtId="0" fontId="28" fillId="23" borderId="3" xfId="371" applyFont="1" applyFill="1" applyBorder="1" applyAlignment="1">
      <alignment horizontal="center"/>
    </xf>
    <xf numFmtId="0" fontId="28" fillId="23" borderId="3" xfId="371" applyFont="1" applyFill="1" applyBorder="1"/>
    <xf numFmtId="174" fontId="28" fillId="0" borderId="21" xfId="220" applyFont="1" applyFill="1" applyBorder="1" applyAlignment="1" applyProtection="1">
      <alignment horizontal="right"/>
    </xf>
    <xf numFmtId="0" fontId="151" fillId="23" borderId="3" xfId="371" applyFont="1" applyFill="1" applyBorder="1"/>
    <xf numFmtId="3" fontId="151" fillId="23" borderId="3" xfId="222" applyNumberFormat="1" applyFont="1" applyFill="1" applyBorder="1" applyAlignment="1" applyProtection="1">
      <alignment horizontal="right"/>
    </xf>
    <xf numFmtId="4" fontId="151" fillId="23" borderId="3" xfId="181" applyNumberFormat="1" applyFont="1" applyFill="1" applyBorder="1" applyAlignment="1" applyProtection="1">
      <alignment horizontal="right"/>
    </xf>
    <xf numFmtId="4" fontId="151" fillId="0" borderId="3" xfId="181" applyNumberFormat="1" applyFont="1" applyFill="1" applyBorder="1" applyAlignment="1" applyProtection="1">
      <alignment horizontal="right"/>
    </xf>
    <xf numFmtId="174" fontId="151" fillId="0" borderId="21" xfId="220" applyFont="1" applyFill="1" applyBorder="1" applyAlignment="1" applyProtection="1">
      <alignment horizontal="right"/>
    </xf>
    <xf numFmtId="0" fontId="28" fillId="23" borderId="3" xfId="371" applyFont="1" applyFill="1" applyBorder="1" applyAlignment="1">
      <alignment horizontal="right"/>
    </xf>
    <xf numFmtId="3" fontId="28" fillId="23" borderId="3" xfId="222" applyNumberFormat="1" applyFont="1" applyFill="1" applyBorder="1" applyAlignment="1" applyProtection="1">
      <alignment horizontal="right"/>
    </xf>
    <xf numFmtId="3" fontId="17" fillId="0" borderId="0" xfId="371" applyNumberFormat="1" applyFont="1" applyFill="1"/>
    <xf numFmtId="0" fontId="151" fillId="23" borderId="3" xfId="371" applyFont="1" applyFill="1" applyBorder="1" applyAlignment="1">
      <alignment horizontal="right"/>
    </xf>
    <xf numFmtId="3" fontId="130" fillId="0" borderId="0" xfId="371" applyNumberFormat="1" applyFont="1" applyFill="1"/>
    <xf numFmtId="0" fontId="130" fillId="0" borderId="0" xfId="371" applyFont="1" applyFill="1"/>
    <xf numFmtId="4" fontId="130" fillId="0" borderId="0" xfId="371" applyNumberFormat="1" applyFont="1" applyFill="1"/>
    <xf numFmtId="3" fontId="17" fillId="0" borderId="3" xfId="361" applyNumberFormat="1" applyFont="1" applyFill="1" applyBorder="1" applyAlignment="1">
      <alignment vertical="center" wrapText="1"/>
    </xf>
    <xf numFmtId="0" fontId="28" fillId="23" borderId="3" xfId="371" applyFont="1" applyFill="1" applyBorder="1" applyAlignment="1">
      <alignment wrapText="1"/>
    </xf>
    <xf numFmtId="237" fontId="17" fillId="0" borderId="0" xfId="371" applyNumberFormat="1" applyFont="1"/>
    <xf numFmtId="174" fontId="154" fillId="0" borderId="21" xfId="220" applyFont="1" applyFill="1" applyBorder="1" applyAlignment="1" applyProtection="1">
      <alignment horizontal="right"/>
    </xf>
    <xf numFmtId="0" fontId="157" fillId="0" borderId="0" xfId="371" applyFont="1"/>
    <xf numFmtId="3" fontId="157" fillId="0" borderId="0" xfId="371" applyNumberFormat="1" applyFont="1"/>
    <xf numFmtId="4" fontId="157" fillId="0" borderId="0" xfId="371" applyNumberFormat="1" applyFont="1"/>
    <xf numFmtId="0" fontId="157" fillId="0" borderId="0" xfId="371" applyFont="1" applyFill="1"/>
    <xf numFmtId="0" fontId="28" fillId="0" borderId="3" xfId="370" applyFont="1" applyFill="1" applyBorder="1"/>
    <xf numFmtId="0" fontId="28" fillId="0" borderId="3" xfId="370" applyFont="1" applyBorder="1"/>
    <xf numFmtId="229" fontId="28" fillId="23" borderId="3" xfId="181" applyNumberFormat="1" applyFont="1" applyFill="1" applyBorder="1" applyAlignment="1" applyProtection="1">
      <alignment horizontal="right"/>
    </xf>
    <xf numFmtId="229" fontId="28" fillId="0" borderId="3" xfId="181" applyNumberFormat="1" applyFont="1" applyFill="1" applyBorder="1" applyAlignment="1" applyProtection="1">
      <alignment horizontal="right"/>
    </xf>
    <xf numFmtId="227" fontId="28" fillId="0" borderId="21" xfId="222" applyNumberFormat="1" applyFont="1" applyFill="1" applyBorder="1" applyAlignment="1" applyProtection="1">
      <alignment horizontal="right"/>
    </xf>
    <xf numFmtId="0" fontId="28" fillId="23" borderId="3" xfId="371" applyFont="1" applyFill="1" applyBorder="1" applyAlignment="1">
      <alignment horizontal="center" vertical="center"/>
    </xf>
    <xf numFmtId="227" fontId="28" fillId="23" borderId="3" xfId="222" applyNumberFormat="1" applyFont="1" applyFill="1" applyBorder="1" applyAlignment="1" applyProtection="1">
      <alignment horizontal="right"/>
    </xf>
    <xf numFmtId="174" fontId="143" fillId="0" borderId="0" xfId="222" applyNumberFormat="1" applyFont="1" applyFill="1" applyBorder="1" applyAlignment="1" applyProtection="1">
      <alignment horizontal="right"/>
    </xf>
    <xf numFmtId="174" fontId="17" fillId="0" borderId="0" xfId="371" applyNumberFormat="1" applyFont="1"/>
    <xf numFmtId="174" fontId="142" fillId="0" borderId="0" xfId="371" applyNumberFormat="1" applyFont="1"/>
    <xf numFmtId="4" fontId="69" fillId="0" borderId="0" xfId="371" applyNumberFormat="1" applyFont="1"/>
    <xf numFmtId="0" fontId="28" fillId="0" borderId="0" xfId="371" applyFont="1" applyBorder="1"/>
    <xf numFmtId="0" fontId="143" fillId="0" borderId="0" xfId="371" applyFont="1" applyBorder="1" applyAlignment="1">
      <alignment horizontal="center"/>
    </xf>
    <xf numFmtId="227" fontId="143" fillId="0" borderId="0" xfId="222" applyNumberFormat="1" applyFont="1" applyFill="1" applyBorder="1" applyAlignment="1" applyProtection="1">
      <alignment horizontal="right"/>
    </xf>
    <xf numFmtId="3" fontId="143" fillId="0" borderId="0" xfId="222" applyNumberFormat="1" applyFont="1" applyFill="1" applyBorder="1" applyAlignment="1" applyProtection="1">
      <alignment horizontal="right"/>
    </xf>
    <xf numFmtId="230" fontId="143" fillId="0" borderId="0" xfId="222" applyNumberFormat="1" applyFont="1" applyFill="1" applyBorder="1" applyAlignment="1" applyProtection="1">
      <alignment horizontal="right"/>
    </xf>
    <xf numFmtId="0" fontId="69" fillId="0" borderId="0" xfId="371" applyFont="1" applyBorder="1"/>
    <xf numFmtId="0" fontId="69" fillId="0" borderId="0" xfId="371" applyFont="1" applyBorder="1" applyAlignment="1">
      <alignment horizontal="center"/>
    </xf>
    <xf numFmtId="230" fontId="153" fillId="0" borderId="0" xfId="222" applyNumberFormat="1" applyFont="1" applyFill="1" applyBorder="1" applyAlignment="1" applyProtection="1">
      <alignment horizontal="right"/>
    </xf>
    <xf numFmtId="0" fontId="153" fillId="0" borderId="0" xfId="371" applyFont="1" applyBorder="1" applyAlignment="1">
      <alignment horizontal="center"/>
    </xf>
    <xf numFmtId="227" fontId="153" fillId="0" borderId="0" xfId="222" applyNumberFormat="1" applyFont="1" applyFill="1" applyBorder="1" applyAlignment="1" applyProtection="1">
      <alignment horizontal="right"/>
    </xf>
    <xf numFmtId="3" fontId="153" fillId="0" borderId="0" xfId="222" applyNumberFormat="1" applyFont="1" applyFill="1" applyBorder="1" applyAlignment="1" applyProtection="1">
      <alignment horizontal="right"/>
    </xf>
    <xf numFmtId="3" fontId="17" fillId="0" borderId="0" xfId="371" applyNumberFormat="1" applyFont="1" applyAlignment="1">
      <alignment horizontal="center"/>
    </xf>
    <xf numFmtId="227" fontId="147" fillId="0" borderId="0" xfId="371" applyNumberFormat="1" applyFont="1" applyFill="1" applyAlignment="1"/>
    <xf numFmtId="230" fontId="147" fillId="0" borderId="0" xfId="371" applyNumberFormat="1" applyFont="1" applyFill="1" applyAlignment="1"/>
    <xf numFmtId="0" fontId="147" fillId="0" borderId="0" xfId="371" applyFont="1" applyFill="1" applyAlignment="1"/>
    <xf numFmtId="0" fontId="17" fillId="0" borderId="0" xfId="371" applyFont="1" applyFill="1" applyAlignment="1">
      <alignment horizontal="center"/>
    </xf>
    <xf numFmtId="227" fontId="17" fillId="0" borderId="0" xfId="371" applyNumberFormat="1" applyFont="1" applyFill="1" applyAlignment="1"/>
    <xf numFmtId="0" fontId="17" fillId="0" borderId="0" xfId="371" applyFont="1" applyFill="1" applyAlignment="1"/>
    <xf numFmtId="0" fontId="142" fillId="0" borderId="0" xfId="371" applyFont="1" applyFill="1" applyAlignment="1">
      <alignment horizontal="center"/>
    </xf>
    <xf numFmtId="227" fontId="17" fillId="0" borderId="0" xfId="371" applyNumberFormat="1" applyFont="1" applyFill="1"/>
    <xf numFmtId="3" fontId="142" fillId="0" borderId="0" xfId="371" applyNumberFormat="1" applyFont="1" applyFill="1" applyAlignment="1">
      <alignment horizontal="center"/>
    </xf>
    <xf numFmtId="229" fontId="17" fillId="0" borderId="0" xfId="371" applyNumberFormat="1" applyFont="1"/>
    <xf numFmtId="4" fontId="17" fillId="0" borderId="0" xfId="371" applyNumberFormat="1" applyFont="1" applyFill="1"/>
    <xf numFmtId="0" fontId="69" fillId="0" borderId="0" xfId="367" applyFont="1"/>
    <xf numFmtId="0" fontId="17" fillId="0" borderId="0" xfId="368" applyFont="1" applyAlignment="1"/>
    <xf numFmtId="0" fontId="17" fillId="0" borderId="0" xfId="363" applyFont="1" applyAlignment="1"/>
    <xf numFmtId="0" fontId="17" fillId="0" borderId="0" xfId="363" applyFont="1"/>
    <xf numFmtId="3" fontId="17" fillId="0" borderId="0" xfId="363" applyNumberFormat="1" applyFont="1"/>
    <xf numFmtId="0" fontId="17" fillId="0" borderId="0" xfId="367" applyFont="1"/>
    <xf numFmtId="0" fontId="17" fillId="0" borderId="0" xfId="367" applyFont="1" applyFill="1"/>
    <xf numFmtId="0" fontId="142" fillId="0" borderId="0" xfId="367" applyFont="1"/>
    <xf numFmtId="229" fontId="69" fillId="0" borderId="0" xfId="367" applyNumberFormat="1" applyFont="1"/>
    <xf numFmtId="3" fontId="69" fillId="0" borderId="0" xfId="367" applyNumberFormat="1" applyFont="1"/>
    <xf numFmtId="3" fontId="17" fillId="0" borderId="0" xfId="367" applyNumberFormat="1" applyFont="1"/>
    <xf numFmtId="3" fontId="30" fillId="0" borderId="0" xfId="367" applyNumberFormat="1" applyFont="1"/>
    <xf numFmtId="0" fontId="130" fillId="0" borderId="0" xfId="371" applyFont="1" applyAlignment="1">
      <alignment horizontal="center"/>
    </xf>
    <xf numFmtId="238" fontId="30" fillId="0" borderId="0" xfId="367" applyNumberFormat="1" applyFont="1"/>
    <xf numFmtId="0" fontId="142" fillId="0" borderId="0" xfId="369" applyFont="1" applyAlignment="1">
      <alignment horizontal="center"/>
    </xf>
    <xf numFmtId="3" fontId="142" fillId="0" borderId="0" xfId="369" applyNumberFormat="1" applyFont="1" applyAlignment="1">
      <alignment horizontal="center"/>
    </xf>
    <xf numFmtId="0" fontId="130" fillId="0" borderId="0" xfId="0" applyFont="1" applyBorder="1" applyAlignment="1">
      <alignment horizontal="right"/>
    </xf>
    <xf numFmtId="228" fontId="17" fillId="0" borderId="0" xfId="0" applyNumberFormat="1" applyFont="1"/>
    <xf numFmtId="0" fontId="17" fillId="0" borderId="0" xfId="0" applyFont="1" applyAlignment="1"/>
    <xf numFmtId="0" fontId="17" fillId="0" borderId="3" xfId="0" applyFont="1" applyBorder="1" applyAlignment="1">
      <alignment horizontal="center" vertical="center"/>
    </xf>
    <xf numFmtId="227" fontId="143" fillId="0" borderId="21" xfId="222" applyNumberFormat="1" applyFont="1" applyFill="1" applyBorder="1" applyAlignment="1" applyProtection="1">
      <alignment horizontal="right"/>
    </xf>
    <xf numFmtId="239" fontId="130" fillId="0" borderId="55" xfId="0" applyNumberFormat="1" applyFont="1" applyBorder="1" applyAlignment="1">
      <alignment horizontal="right"/>
    </xf>
    <xf numFmtId="0" fontId="130" fillId="0" borderId="55" xfId="0" applyFont="1" applyBorder="1" applyAlignment="1">
      <alignment horizontal="right"/>
    </xf>
    <xf numFmtId="0" fontId="142" fillId="0" borderId="53" xfId="0" applyFont="1" applyBorder="1" applyAlignment="1">
      <alignment horizontal="center" vertical="center"/>
    </xf>
    <xf numFmtId="0" fontId="17" fillId="0" borderId="3" xfId="0" applyFont="1" applyBorder="1" applyAlignment="1">
      <alignment horizontal="center" wrapText="1"/>
    </xf>
    <xf numFmtId="0" fontId="153" fillId="0" borderId="3" xfId="0" applyFont="1" applyBorder="1" applyAlignment="1">
      <alignment horizontal="left"/>
    </xf>
    <xf numFmtId="239" fontId="17" fillId="0" borderId="3" xfId="0" applyNumberFormat="1" applyFont="1" applyBorder="1"/>
    <xf numFmtId="239" fontId="130" fillId="0" borderId="3" xfId="0" applyNumberFormat="1" applyFont="1" applyBorder="1"/>
    <xf numFmtId="0" fontId="153" fillId="0" borderId="53" xfId="0" applyFont="1" applyBorder="1" applyAlignment="1">
      <alignment horizontal="left"/>
    </xf>
    <xf numFmtId="239" fontId="142" fillId="0" borderId="3" xfId="0" applyNumberFormat="1" applyFont="1" applyBorder="1"/>
    <xf numFmtId="239" fontId="130" fillId="0" borderId="3" xfId="0" applyNumberFormat="1" applyFont="1" applyBorder="1" applyAlignment="1"/>
    <xf numFmtId="0" fontId="142" fillId="0" borderId="3" xfId="0" applyFont="1" applyBorder="1"/>
    <xf numFmtId="239" fontId="17" fillId="0" borderId="3" xfId="0" applyNumberFormat="1" applyFont="1" applyBorder="1" applyAlignment="1"/>
    <xf numFmtId="239" fontId="142" fillId="0" borderId="3" xfId="0" applyNumberFormat="1" applyFont="1" applyFill="1" applyBorder="1"/>
    <xf numFmtId="0" fontId="17" fillId="0" borderId="3" xfId="0" applyFont="1" applyBorder="1"/>
    <xf numFmtId="0" fontId="17" fillId="0" borderId="25" xfId="0" applyFont="1" applyBorder="1"/>
    <xf numFmtId="0" fontId="17" fillId="0" borderId="0" xfId="0" applyFont="1" applyBorder="1"/>
    <xf numFmtId="239" fontId="142" fillId="0" borderId="0" xfId="0" applyNumberFormat="1" applyFont="1" applyBorder="1"/>
    <xf numFmtId="239" fontId="17" fillId="0" borderId="0" xfId="0" applyNumberFormat="1" applyFont="1" applyBorder="1"/>
    <xf numFmtId="239" fontId="130" fillId="0" borderId="0" xfId="0" applyNumberFormat="1" applyFont="1" applyBorder="1"/>
    <xf numFmtId="0" fontId="17" fillId="0" borderId="0" xfId="0" applyFont="1" applyFill="1" applyAlignment="1">
      <alignment horizontal="right"/>
    </xf>
    <xf numFmtId="0" fontId="17" fillId="0" borderId="3" xfId="0" applyFont="1" applyBorder="1" applyAlignment="1">
      <alignment horizontal="center" vertical="center" wrapText="1"/>
    </xf>
    <xf numFmtId="240" fontId="142" fillId="0" borderId="14" xfId="0" applyNumberFormat="1" applyFont="1" applyBorder="1"/>
    <xf numFmtId="228" fontId="142" fillId="0" borderId="14" xfId="220" applyNumberFormat="1" applyFont="1" applyFill="1" applyBorder="1" applyAlignment="1" applyProtection="1"/>
    <xf numFmtId="0" fontId="130" fillId="0" borderId="14" xfId="0" applyFont="1" applyBorder="1"/>
    <xf numFmtId="240" fontId="142" fillId="0" borderId="21" xfId="0" applyNumberFormat="1" applyFont="1" applyBorder="1"/>
    <xf numFmtId="228" fontId="142" fillId="0" borderId="21" xfId="220" applyNumberFormat="1" applyFont="1" applyFill="1" applyBorder="1" applyAlignment="1" applyProtection="1"/>
    <xf numFmtId="0" fontId="130" fillId="0" borderId="21" xfId="0" applyFont="1" applyBorder="1"/>
    <xf numFmtId="0" fontId="157" fillId="0" borderId="0" xfId="0" applyFont="1"/>
    <xf numFmtId="240" fontId="17" fillId="0" borderId="21" xfId="0" applyNumberFormat="1" applyFont="1" applyBorder="1"/>
    <xf numFmtId="228" fontId="17" fillId="0" borderId="21" xfId="220" applyNumberFormat="1" applyFont="1" applyFill="1" applyBorder="1" applyAlignment="1" applyProtection="1"/>
    <xf numFmtId="240" fontId="17" fillId="0" borderId="42" xfId="0" applyNumberFormat="1" applyFont="1" applyBorder="1"/>
    <xf numFmtId="228" fontId="17" fillId="0" borderId="42" xfId="220" applyNumberFormat="1" applyFont="1" applyFill="1" applyBorder="1" applyAlignment="1" applyProtection="1"/>
    <xf numFmtId="0" fontId="130" fillId="0" borderId="42" xfId="0" applyFont="1" applyBorder="1"/>
    <xf numFmtId="240" fontId="142" fillId="0" borderId="42" xfId="0" applyNumberFormat="1" applyFont="1" applyBorder="1"/>
    <xf numFmtId="228" fontId="142" fillId="0" borderId="42" xfId="220" applyNumberFormat="1" applyFont="1" applyFill="1" applyBorder="1" applyAlignment="1" applyProtection="1"/>
    <xf numFmtId="0" fontId="142" fillId="0" borderId="42" xfId="0" applyFont="1" applyBorder="1"/>
    <xf numFmtId="0" fontId="157" fillId="0" borderId="42" xfId="0" applyFont="1" applyBorder="1"/>
    <xf numFmtId="240" fontId="17" fillId="0" borderId="45" xfId="0" applyNumberFormat="1" applyFont="1" applyBorder="1"/>
    <xf numFmtId="228" fontId="17" fillId="0" borderId="45" xfId="220" applyNumberFormat="1" applyFont="1" applyFill="1" applyBorder="1" applyAlignment="1" applyProtection="1"/>
    <xf numFmtId="0" fontId="130" fillId="0" borderId="45" xfId="0" applyFont="1" applyBorder="1"/>
    <xf numFmtId="240" fontId="130" fillId="0" borderId="0" xfId="0" applyNumberFormat="1" applyFont="1" applyBorder="1"/>
    <xf numFmtId="228" fontId="17" fillId="0" borderId="0" xfId="220" applyNumberFormat="1" applyFont="1" applyFill="1" applyBorder="1" applyAlignment="1" applyProtection="1"/>
    <xf numFmtId="0" fontId="130" fillId="0" borderId="0" xfId="0" applyFont="1" applyBorder="1"/>
    <xf numFmtId="0" fontId="142" fillId="0" borderId="25" xfId="0" applyFont="1" applyBorder="1" applyAlignment="1">
      <alignment horizontal="center" vertical="center"/>
    </xf>
    <xf numFmtId="231" fontId="130" fillId="0" borderId="0" xfId="0" applyNumberFormat="1" applyFont="1"/>
    <xf numFmtId="231" fontId="142" fillId="0" borderId="0" xfId="0" applyNumberFormat="1" applyFont="1"/>
    <xf numFmtId="240" fontId="17" fillId="0" borderId="0" xfId="0" applyNumberFormat="1" applyFont="1" applyBorder="1"/>
    <xf numFmtId="240" fontId="17" fillId="0" borderId="0" xfId="220" applyNumberFormat="1" applyFont="1" applyFill="1" applyBorder="1" applyAlignment="1" applyProtection="1"/>
    <xf numFmtId="0" fontId="151" fillId="0" borderId="0" xfId="0" applyFont="1" applyBorder="1"/>
    <xf numFmtId="4" fontId="130" fillId="0" borderId="0" xfId="371" applyNumberFormat="1" applyFont="1" applyAlignment="1">
      <alignment horizontal="center"/>
    </xf>
    <xf numFmtId="4" fontId="142" fillId="0" borderId="0" xfId="369" applyNumberFormat="1" applyFont="1" applyAlignment="1">
      <alignment horizontal="center"/>
    </xf>
    <xf numFmtId="4" fontId="69" fillId="0" borderId="0" xfId="367" applyNumberFormat="1" applyFont="1"/>
    <xf numFmtId="230" fontId="149" fillId="0" borderId="0" xfId="222" applyNumberFormat="1" applyFont="1" applyFill="1" applyBorder="1" applyAlignment="1" applyProtection="1">
      <alignment horizontal="right"/>
    </xf>
    <xf numFmtId="1" fontId="164" fillId="0" borderId="0" xfId="0" applyNumberFormat="1" applyFont="1" applyFill="1"/>
    <xf numFmtId="165" fontId="17" fillId="36" borderId="0" xfId="371" applyNumberFormat="1" applyFont="1" applyFill="1"/>
    <xf numFmtId="0" fontId="17" fillId="36" borderId="0" xfId="371" applyFont="1" applyFill="1"/>
    <xf numFmtId="183" fontId="17" fillId="36" borderId="0" xfId="371" applyNumberFormat="1" applyFont="1" applyFill="1"/>
    <xf numFmtId="233" fontId="143" fillId="0" borderId="3" xfId="222" applyNumberFormat="1" applyFont="1" applyFill="1" applyBorder="1" applyAlignment="1" applyProtection="1">
      <alignment horizontal="right"/>
    </xf>
    <xf numFmtId="4" fontId="157" fillId="0" borderId="0" xfId="371" applyNumberFormat="1" applyFont="1" applyFill="1"/>
    <xf numFmtId="0" fontId="151" fillId="0" borderId="3" xfId="371" applyFont="1" applyFill="1" applyBorder="1"/>
    <xf numFmtId="227" fontId="151" fillId="0" borderId="3" xfId="222" applyNumberFormat="1" applyFont="1" applyFill="1" applyBorder="1" applyAlignment="1" applyProtection="1">
      <alignment horizontal="right"/>
    </xf>
    <xf numFmtId="3" fontId="151" fillId="0" borderId="3" xfId="222" applyNumberFormat="1" applyFont="1" applyFill="1" applyBorder="1" applyAlignment="1" applyProtection="1">
      <alignment horizontal="right"/>
    </xf>
    <xf numFmtId="3" fontId="167" fillId="0" borderId="62" xfId="0" applyNumberFormat="1" applyFont="1" applyBorder="1"/>
    <xf numFmtId="233" fontId="17" fillId="0" borderId="3" xfId="0" applyNumberFormat="1" applyFont="1" applyFill="1" applyBorder="1"/>
    <xf numFmtId="233" fontId="17" fillId="0" borderId="3" xfId="0" applyNumberFormat="1" applyFont="1" applyBorder="1"/>
    <xf numFmtId="233" fontId="142" fillId="0" borderId="3" xfId="0" applyNumberFormat="1" applyFont="1" applyBorder="1"/>
    <xf numFmtId="233" fontId="158" fillId="0" borderId="3" xfId="0" applyNumberFormat="1" applyFont="1" applyBorder="1"/>
    <xf numFmtId="233" fontId="145" fillId="0" borderId="3" xfId="0" applyNumberFormat="1" applyFont="1" applyBorder="1"/>
    <xf numFmtId="233" fontId="142" fillId="0" borderId="3" xfId="0" applyNumberFormat="1" applyFont="1" applyFill="1" applyBorder="1"/>
    <xf numFmtId="233" fontId="145" fillId="0" borderId="3" xfId="0" applyNumberFormat="1" applyFont="1" applyFill="1" applyBorder="1"/>
    <xf numFmtId="233" fontId="17" fillId="0" borderId="25" xfId="0" applyNumberFormat="1" applyFont="1" applyBorder="1"/>
    <xf numFmtId="233" fontId="145" fillId="0" borderId="25" xfId="0" applyNumberFormat="1" applyFont="1" applyBorder="1"/>
    <xf numFmtId="233" fontId="130" fillId="0" borderId="3" xfId="0" applyNumberFormat="1" applyFont="1" applyBorder="1"/>
    <xf numFmtId="233" fontId="17" fillId="0" borderId="3" xfId="0" applyNumberFormat="1" applyFont="1" applyBorder="1" applyAlignment="1">
      <alignment horizontal="center" vertical="center"/>
    </xf>
    <xf numFmtId="233" fontId="168" fillId="0" borderId="3" xfId="0" applyNumberFormat="1" applyFont="1" applyBorder="1"/>
    <xf numFmtId="0" fontId="164" fillId="36" borderId="0" xfId="0" applyFont="1" applyFill="1"/>
    <xf numFmtId="0" fontId="17" fillId="0" borderId="3" xfId="0" applyFont="1" applyBorder="1" applyAlignment="1">
      <alignment horizontal="center" vertical="center"/>
    </xf>
    <xf numFmtId="0" fontId="170" fillId="0" borderId="0" xfId="0" applyFont="1"/>
    <xf numFmtId="0" fontId="171" fillId="0" borderId="0" xfId="0" applyFont="1"/>
    <xf numFmtId="0" fontId="169" fillId="0" borderId="62" xfId="0" applyFont="1" applyBorder="1" applyAlignment="1">
      <alignment horizontal="center" vertical="center"/>
    </xf>
    <xf numFmtId="0" fontId="169" fillId="0" borderId="62" xfId="0" applyFont="1" applyBorder="1" applyAlignment="1">
      <alignment wrapText="1"/>
    </xf>
    <xf numFmtId="3" fontId="170" fillId="0" borderId="62" xfId="0" applyNumberFormat="1" applyFont="1" applyBorder="1"/>
    <xf numFmtId="3" fontId="169" fillId="0" borderId="62" xfId="0" applyNumberFormat="1" applyFont="1" applyBorder="1"/>
    <xf numFmtId="0" fontId="170" fillId="0" borderId="62" xfId="0" applyFont="1" applyBorder="1"/>
    <xf numFmtId="3" fontId="171" fillId="0" borderId="0" xfId="0" applyNumberFormat="1" applyFont="1"/>
    <xf numFmtId="0" fontId="169" fillId="0" borderId="62" xfId="0" applyFont="1" applyBorder="1"/>
    <xf numFmtId="0" fontId="170" fillId="0" borderId="62" xfId="0" applyFont="1" applyBorder="1" applyAlignment="1">
      <alignment horizontal="center" vertical="center"/>
    </xf>
    <xf numFmtId="0" fontId="170" fillId="0" borderId="62" xfId="0" quotePrefix="1" applyFont="1" applyBorder="1"/>
    <xf numFmtId="0" fontId="169" fillId="0" borderId="62" xfId="0" applyFont="1" applyBorder="1" applyAlignment="1">
      <alignment horizontal="left" vertical="center"/>
    </xf>
    <xf numFmtId="0" fontId="170" fillId="0" borderId="62" xfId="0" applyFont="1" applyBorder="1" applyAlignment="1">
      <alignment wrapText="1"/>
    </xf>
    <xf numFmtId="0" fontId="171" fillId="36" borderId="0" xfId="0" applyFont="1" applyFill="1"/>
    <xf numFmtId="0" fontId="170" fillId="0" borderId="62" xfId="0" quotePrefix="1" applyFont="1" applyBorder="1" applyAlignment="1">
      <alignment horizontal="center" vertical="center"/>
    </xf>
    <xf numFmtId="0" fontId="177" fillId="0" borderId="62" xfId="0" applyFont="1" applyBorder="1" applyAlignment="1">
      <alignment horizontal="center" vertical="center"/>
    </xf>
    <xf numFmtId="0" fontId="177" fillId="0" borderId="62" xfId="0" applyFont="1" applyBorder="1"/>
    <xf numFmtId="3" fontId="177" fillId="0" borderId="62" xfId="0" applyNumberFormat="1" applyFont="1" applyBorder="1"/>
    <xf numFmtId="0" fontId="178" fillId="0" borderId="0" xfId="0" applyFont="1"/>
    <xf numFmtId="0" fontId="179" fillId="0" borderId="62" xfId="0" applyFont="1" applyBorder="1" applyAlignment="1">
      <alignment horizontal="center" vertical="center"/>
    </xf>
    <xf numFmtId="3" fontId="179" fillId="0" borderId="62" xfId="0" applyNumberFormat="1" applyFont="1" applyBorder="1" applyAlignment="1">
      <alignment horizontal="right" vertical="center"/>
    </xf>
    <xf numFmtId="0" fontId="130" fillId="0" borderId="62" xfId="0" applyFont="1" applyBorder="1"/>
    <xf numFmtId="0" fontId="143" fillId="0" borderId="66" xfId="0" applyFont="1" applyBorder="1" applyAlignment="1">
      <alignment horizontal="center"/>
    </xf>
    <xf numFmtId="239" fontId="142" fillId="0" borderId="56" xfId="0" applyNumberFormat="1" applyFont="1" applyBorder="1" applyAlignment="1">
      <alignment horizontal="center"/>
    </xf>
    <xf numFmtId="239" fontId="142" fillId="0" borderId="25" xfId="0" applyNumberFormat="1" applyFont="1" applyBorder="1" applyAlignment="1">
      <alignment horizontal="center"/>
    </xf>
    <xf numFmtId="0" fontId="142" fillId="0" borderId="25" xfId="0" applyFont="1" applyBorder="1" applyAlignment="1">
      <alignment horizontal="center"/>
    </xf>
    <xf numFmtId="0" fontId="162" fillId="0" borderId="62" xfId="0" applyFont="1" applyBorder="1" applyAlignment="1">
      <alignment horizontal="center"/>
    </xf>
    <xf numFmtId="240" fontId="142" fillId="0" borderId="62" xfId="0" applyNumberFormat="1" applyFont="1" applyBorder="1"/>
    <xf numFmtId="240" fontId="142" fillId="0" borderId="62" xfId="220" applyNumberFormat="1" applyFont="1" applyFill="1" applyBorder="1" applyAlignment="1" applyProtection="1"/>
    <xf numFmtId="184" fontId="142" fillId="0" borderId="62" xfId="220" applyNumberFormat="1" applyFont="1" applyFill="1" applyBorder="1" applyAlignment="1" applyProtection="1"/>
    <xf numFmtId="240" fontId="17" fillId="0" borderId="62" xfId="0" applyNumberFormat="1" applyFont="1" applyBorder="1"/>
    <xf numFmtId="240" fontId="17" fillId="0" borderId="62" xfId="220" applyNumberFormat="1" applyFont="1" applyFill="1" applyBorder="1" applyAlignment="1" applyProtection="1"/>
    <xf numFmtId="240" fontId="130" fillId="0" borderId="62" xfId="0" applyNumberFormat="1" applyFont="1" applyBorder="1"/>
    <xf numFmtId="240" fontId="130" fillId="0" borderId="62" xfId="220" applyNumberFormat="1" applyFont="1" applyFill="1" applyBorder="1" applyAlignment="1" applyProtection="1"/>
    <xf numFmtId="240" fontId="130" fillId="0" borderId="62" xfId="0" applyNumberFormat="1" applyFont="1" applyBorder="1" applyAlignment="1">
      <alignment wrapText="1"/>
    </xf>
    <xf numFmtId="240" fontId="17" fillId="0" borderId="62" xfId="0" applyNumberFormat="1" applyFont="1" applyBorder="1" applyAlignment="1">
      <alignment wrapText="1"/>
    </xf>
    <xf numFmtId="184" fontId="17" fillId="0" borderId="62" xfId="220" applyNumberFormat="1" applyFont="1" applyFill="1" applyBorder="1" applyAlignment="1" applyProtection="1"/>
    <xf numFmtId="184" fontId="145" fillId="0" borderId="62" xfId="220" applyNumberFormat="1" applyFont="1" applyFill="1" applyBorder="1" applyAlignment="1" applyProtection="1"/>
    <xf numFmtId="240" fontId="151" fillId="0" borderId="62" xfId="0" applyNumberFormat="1" applyFont="1" applyBorder="1"/>
    <xf numFmtId="0" fontId="151" fillId="0" borderId="62" xfId="0" applyFont="1" applyBorder="1"/>
    <xf numFmtId="0" fontId="142" fillId="0" borderId="66" xfId="0" applyFont="1" applyBorder="1" applyAlignment="1">
      <alignment horizontal="center" vertical="center"/>
    </xf>
    <xf numFmtId="0" fontId="157" fillId="0" borderId="25" xfId="0" applyFont="1" applyBorder="1" applyAlignment="1">
      <alignment horizontal="center" vertical="center"/>
    </xf>
    <xf numFmtId="0" fontId="17" fillId="0" borderId="53" xfId="0" applyFont="1" applyBorder="1" applyAlignment="1">
      <alignment horizontal="center" wrapText="1"/>
    </xf>
    <xf numFmtId="4" fontId="142" fillId="0" borderId="62" xfId="220" applyNumberFormat="1" applyFont="1" applyFill="1" applyBorder="1" applyAlignment="1" applyProtection="1"/>
    <xf numFmtId="4" fontId="17" fillId="0" borderId="62" xfId="220" applyNumberFormat="1" applyFont="1" applyFill="1" applyBorder="1" applyAlignment="1" applyProtection="1"/>
    <xf numFmtId="0" fontId="17" fillId="36" borderId="0" xfId="0" applyFont="1" applyFill="1"/>
    <xf numFmtId="4" fontId="17" fillId="36" borderId="0" xfId="371" applyNumberFormat="1" applyFont="1" applyFill="1"/>
    <xf numFmtId="0" fontId="162" fillId="0" borderId="0" xfId="0" applyFont="1" applyAlignment="1">
      <alignment horizontal="right"/>
    </xf>
    <xf numFmtId="0" fontId="162" fillId="0" borderId="0" xfId="371" applyFont="1" applyAlignment="1">
      <alignment horizontal="right"/>
    </xf>
    <xf numFmtId="4" fontId="17" fillId="0" borderId="0" xfId="0" applyNumberFormat="1" applyFont="1" applyBorder="1" applyAlignment="1">
      <alignment horizontal="center"/>
    </xf>
    <xf numFmtId="4" fontId="142" fillId="0" borderId="0" xfId="0" applyNumberFormat="1" applyFont="1" applyAlignment="1">
      <alignment horizontal="center"/>
    </xf>
    <xf numFmtId="4" fontId="17" fillId="36" borderId="0" xfId="0" applyNumberFormat="1" applyFont="1" applyFill="1"/>
    <xf numFmtId="4" fontId="159" fillId="0" borderId="0" xfId="0" applyNumberFormat="1" applyFont="1" applyAlignment="1">
      <alignment horizontal="center"/>
    </xf>
    <xf numFmtId="164" fontId="17" fillId="0" borderId="0" xfId="371" applyNumberFormat="1" applyFont="1" applyAlignment="1">
      <alignment horizontal="center"/>
    </xf>
    <xf numFmtId="164" fontId="19" fillId="0" borderId="0" xfId="371" applyNumberFormat="1" applyFont="1"/>
    <xf numFmtId="0" fontId="133" fillId="0" borderId="65" xfId="0" applyFont="1" applyBorder="1" applyAlignment="1">
      <alignment horizontal="center" vertical="center" wrapText="1"/>
    </xf>
    <xf numFmtId="0" fontId="133" fillId="0" borderId="42" xfId="0" applyFont="1" applyBorder="1" applyAlignment="1">
      <alignment vertical="center" wrapText="1"/>
    </xf>
    <xf numFmtId="4" fontId="133" fillId="0" borderId="42" xfId="181" applyNumberFormat="1" applyFont="1" applyFill="1" applyBorder="1" applyAlignment="1" applyProtection="1">
      <alignment vertical="center" wrapText="1"/>
    </xf>
    <xf numFmtId="4" fontId="133" fillId="0" borderId="43" xfId="181" applyNumberFormat="1" applyFont="1" applyFill="1" applyBorder="1" applyAlignment="1" applyProtection="1">
      <alignment vertical="center" wrapText="1"/>
    </xf>
    <xf numFmtId="0" fontId="133" fillId="0" borderId="21" xfId="0" quotePrefix="1" applyFont="1" applyBorder="1"/>
    <xf numFmtId="0" fontId="176" fillId="0" borderId="0" xfId="0" applyFont="1"/>
    <xf numFmtId="0" fontId="176" fillId="0" borderId="62" xfId="0" applyFont="1" applyBorder="1" applyAlignment="1">
      <alignment horizontal="center" vertical="center"/>
    </xf>
    <xf numFmtId="0" fontId="176" fillId="0" borderId="62" xfId="0" applyFont="1" applyBorder="1" applyAlignment="1">
      <alignment horizontal="center"/>
    </xf>
    <xf numFmtId="0" fontId="176" fillId="0" borderId="62" xfId="0" applyFont="1" applyBorder="1"/>
    <xf numFmtId="0" fontId="176" fillId="0" borderId="62" xfId="0" quotePrefix="1" applyFont="1" applyBorder="1"/>
    <xf numFmtId="0" fontId="181" fillId="0" borderId="0" xfId="0" applyFont="1" applyAlignment="1">
      <alignment horizontal="center"/>
    </xf>
    <xf numFmtId="3" fontId="176" fillId="0" borderId="62" xfId="0" applyNumberFormat="1" applyFont="1" applyBorder="1"/>
    <xf numFmtId="0" fontId="176" fillId="0" borderId="62" xfId="0" applyFont="1" applyBorder="1" applyAlignment="1">
      <alignment vertical="center" wrapText="1"/>
    </xf>
    <xf numFmtId="49" fontId="182" fillId="0" borderId="0" xfId="0" applyNumberFormat="1" applyFont="1" applyAlignment="1">
      <alignment horizontal="center"/>
    </xf>
    <xf numFmtId="0" fontId="182" fillId="0" borderId="0" xfId="0" applyFont="1" applyAlignment="1">
      <alignment horizontal="right"/>
    </xf>
    <xf numFmtId="0" fontId="182" fillId="0" borderId="0" xfId="0" applyFont="1"/>
    <xf numFmtId="0" fontId="183" fillId="0" borderId="0" xfId="0" applyFont="1" applyAlignment="1">
      <alignment horizontal="center" vertical="center" wrapText="1"/>
    </xf>
    <xf numFmtId="49" fontId="185" fillId="0" borderId="0" xfId="0" applyNumberFormat="1" applyFont="1" applyAlignment="1">
      <alignment horizontal="left" vertical="center"/>
    </xf>
    <xf numFmtId="49" fontId="182" fillId="0" borderId="0" xfId="0" applyNumberFormat="1" applyFont="1"/>
    <xf numFmtId="0" fontId="182" fillId="0" borderId="0" xfId="0" applyFont="1" applyAlignment="1">
      <alignment horizontal="center"/>
    </xf>
    <xf numFmtId="3" fontId="182" fillId="0" borderId="0" xfId="0" applyNumberFormat="1" applyFont="1"/>
    <xf numFmtId="3" fontId="185" fillId="0" borderId="0" xfId="0" applyNumberFormat="1" applyFont="1"/>
    <xf numFmtId="0" fontId="185" fillId="0" borderId="0" xfId="0" applyFont="1"/>
    <xf numFmtId="241" fontId="182" fillId="0" borderId="0" xfId="0" applyNumberFormat="1" applyFont="1"/>
    <xf numFmtId="0" fontId="186" fillId="0" borderId="0" xfId="0" applyFont="1"/>
    <xf numFmtId="0" fontId="183" fillId="0" borderId="0" xfId="0" applyFont="1"/>
    <xf numFmtId="49" fontId="182" fillId="0" borderId="0" xfId="0" applyNumberFormat="1" applyFont="1" applyAlignment="1">
      <alignment vertical="center"/>
    </xf>
    <xf numFmtId="3" fontId="182" fillId="0" borderId="0" xfId="0" applyNumberFormat="1" applyFont="1" applyAlignment="1">
      <alignment horizontal="right"/>
    </xf>
    <xf numFmtId="49" fontId="182" fillId="0" borderId="0" xfId="0" applyNumberFormat="1" applyFont="1" applyAlignment="1">
      <alignment horizontal="center" vertical="center" wrapText="1"/>
    </xf>
    <xf numFmtId="49" fontId="183" fillId="0" borderId="0" xfId="0" applyNumberFormat="1" applyFont="1" applyAlignment="1">
      <alignment vertical="center" wrapText="1"/>
    </xf>
    <xf numFmtId="3" fontId="182" fillId="0" borderId="0" xfId="0" applyNumberFormat="1" applyFont="1" applyAlignment="1">
      <alignment vertical="center" wrapText="1"/>
    </xf>
    <xf numFmtId="0" fontId="182" fillId="0" borderId="0" xfId="0" applyFont="1" applyAlignment="1">
      <alignment vertical="center" wrapText="1"/>
    </xf>
    <xf numFmtId="3" fontId="183" fillId="0" borderId="0" xfId="0" applyNumberFormat="1" applyFont="1" applyAlignment="1">
      <alignment vertical="center" wrapText="1"/>
    </xf>
    <xf numFmtId="0" fontId="183" fillId="0" borderId="0" xfId="0" applyFont="1" applyAlignment="1">
      <alignment vertical="center" wrapText="1"/>
    </xf>
    <xf numFmtId="3" fontId="185" fillId="0" borderId="0" xfId="0" applyNumberFormat="1" applyFont="1" applyAlignment="1">
      <alignment vertical="center" wrapText="1"/>
    </xf>
    <xf numFmtId="0" fontId="185" fillId="0" borderId="0" xfId="0" applyFont="1" applyAlignment="1">
      <alignment vertical="center" wrapText="1"/>
    </xf>
    <xf numFmtId="3" fontId="183" fillId="0" borderId="0" xfId="0" applyNumberFormat="1" applyFont="1" applyAlignment="1">
      <alignment horizontal="right"/>
    </xf>
    <xf numFmtId="49" fontId="183" fillId="0" borderId="63" xfId="0" applyNumberFormat="1" applyFont="1" applyBorder="1" applyAlignment="1">
      <alignment horizontal="center" vertical="center" wrapText="1"/>
    </xf>
    <xf numFmtId="3" fontId="183" fillId="0" borderId="63" xfId="0" applyNumberFormat="1" applyFont="1" applyBorder="1" applyAlignment="1">
      <alignment horizontal="right" vertical="center" wrapText="1"/>
    </xf>
    <xf numFmtId="3" fontId="182" fillId="0" borderId="63" xfId="0" applyNumberFormat="1" applyFont="1" applyBorder="1" applyAlignment="1">
      <alignment horizontal="right" vertical="center" wrapText="1"/>
    </xf>
    <xf numFmtId="49" fontId="183" fillId="0" borderId="0" xfId="0" applyNumberFormat="1" applyFont="1" applyBorder="1" applyAlignment="1">
      <alignment horizontal="center" vertical="center" wrapText="1"/>
    </xf>
    <xf numFmtId="3" fontId="183" fillId="0" borderId="0" xfId="0" applyNumberFormat="1" applyFont="1" applyBorder="1" applyAlignment="1">
      <alignment horizontal="right" vertical="center" wrapText="1"/>
    </xf>
    <xf numFmtId="3" fontId="182" fillId="0" borderId="0" xfId="0" applyNumberFormat="1" applyFont="1" applyBorder="1" applyAlignment="1">
      <alignment horizontal="right" vertical="center" wrapText="1"/>
    </xf>
    <xf numFmtId="227" fontId="164" fillId="0" borderId="0" xfId="371" applyNumberFormat="1" applyFont="1"/>
    <xf numFmtId="164" fontId="164" fillId="0" borderId="0" xfId="371" applyNumberFormat="1" applyFont="1"/>
    <xf numFmtId="4" fontId="164" fillId="36" borderId="0" xfId="371" applyNumberFormat="1" applyFont="1" applyFill="1"/>
    <xf numFmtId="242" fontId="17" fillId="0" borderId="0" xfId="371" applyNumberFormat="1" applyFont="1"/>
    <xf numFmtId="3" fontId="130" fillId="0" borderId="0" xfId="0" applyNumberFormat="1" applyFont="1" applyFill="1" applyBorder="1"/>
    <xf numFmtId="0" fontId="143" fillId="0" borderId="3" xfId="371" applyFont="1" applyFill="1" applyBorder="1" applyAlignment="1">
      <alignment horizontal="center"/>
    </xf>
    <xf numFmtId="0" fontId="28" fillId="0" borderId="3" xfId="371" applyFont="1" applyFill="1" applyBorder="1" applyAlignment="1">
      <alignment horizontal="center"/>
    </xf>
    <xf numFmtId="0" fontId="17" fillId="0" borderId="0" xfId="371" applyFont="1" applyAlignment="1">
      <alignment horizontal="right"/>
    </xf>
    <xf numFmtId="227" fontId="143" fillId="23" borderId="3" xfId="222" applyNumberFormat="1" applyFont="1" applyFill="1" applyBorder="1" applyAlignment="1" applyProtection="1">
      <alignment horizontal="right"/>
    </xf>
    <xf numFmtId="3" fontId="143" fillId="0" borderId="3" xfId="222" applyNumberFormat="1" applyFont="1" applyFill="1" applyBorder="1" applyAlignment="1" applyProtection="1">
      <alignment horizontal="right"/>
    </xf>
    <xf numFmtId="3" fontId="143" fillId="23" borderId="3" xfId="181" applyNumberFormat="1" applyFont="1" applyFill="1" applyBorder="1" applyAlignment="1" applyProtection="1">
      <alignment horizontal="right"/>
    </xf>
    <xf numFmtId="3" fontId="28" fillId="23" borderId="3" xfId="181" applyNumberFormat="1" applyFont="1" applyFill="1" applyBorder="1" applyAlignment="1" applyProtection="1">
      <alignment horizontal="right"/>
    </xf>
    <xf numFmtId="227" fontId="151" fillId="23" borderId="3" xfId="222" applyNumberFormat="1" applyFont="1" applyFill="1" applyBorder="1" applyAlignment="1" applyProtection="1">
      <alignment horizontal="right"/>
    </xf>
    <xf numFmtId="4" fontId="151" fillId="34" borderId="3" xfId="181" applyNumberFormat="1" applyFont="1" applyFill="1" applyBorder="1" applyAlignment="1" applyProtection="1">
      <alignment horizontal="right"/>
    </xf>
    <xf numFmtId="4" fontId="138" fillId="23" borderId="3" xfId="181" applyNumberFormat="1" applyFont="1" applyFill="1" applyBorder="1" applyAlignment="1" applyProtection="1">
      <alignment horizontal="right"/>
    </xf>
    <xf numFmtId="3" fontId="142" fillId="0" borderId="3" xfId="361" applyNumberFormat="1" applyFont="1" applyFill="1" applyBorder="1" applyAlignment="1">
      <alignment vertical="center" wrapText="1"/>
    </xf>
    <xf numFmtId="3" fontId="143" fillId="23" borderId="3" xfId="371" applyNumberFormat="1" applyFont="1" applyFill="1" applyBorder="1"/>
    <xf numFmtId="3" fontId="28" fillId="0" borderId="3" xfId="371" applyNumberFormat="1" applyFont="1" applyFill="1" applyBorder="1"/>
    <xf numFmtId="3" fontId="28" fillId="23" borderId="3" xfId="371" applyNumberFormat="1" applyFont="1" applyFill="1" applyBorder="1"/>
    <xf numFmtId="3" fontId="28" fillId="0" borderId="3" xfId="222" applyNumberFormat="1" applyFont="1" applyFill="1" applyBorder="1" applyAlignment="1" applyProtection="1">
      <alignment horizontal="right"/>
    </xf>
    <xf numFmtId="4" fontId="143" fillId="0" borderId="0" xfId="181" applyNumberFormat="1" applyFont="1" applyFill="1" applyBorder="1" applyAlignment="1" applyProtection="1">
      <alignment horizontal="right"/>
    </xf>
    <xf numFmtId="1" fontId="17" fillId="0" borderId="0" xfId="0" applyNumberFormat="1" applyFont="1" applyFill="1" applyAlignment="1">
      <alignment horizontal="right"/>
    </xf>
    <xf numFmtId="0" fontId="161" fillId="0" borderId="0" xfId="368" applyFont="1" applyAlignment="1"/>
    <xf numFmtId="0" fontId="162" fillId="0" borderId="0" xfId="369" applyFont="1" applyAlignment="1">
      <alignment vertical="center"/>
    </xf>
    <xf numFmtId="0" fontId="162" fillId="0" borderId="0" xfId="0" applyFont="1" applyAlignment="1">
      <alignment horizontal="center"/>
    </xf>
    <xf numFmtId="0" fontId="190" fillId="0" borderId="22" xfId="0" applyFont="1" applyFill="1" applyBorder="1" applyAlignment="1">
      <alignment vertical="top"/>
    </xf>
    <xf numFmtId="1" fontId="17" fillId="36" borderId="0" xfId="0" applyNumberFormat="1" applyFont="1" applyFill="1"/>
    <xf numFmtId="4" fontId="28" fillId="36" borderId="21" xfId="181" applyNumberFormat="1" applyFont="1" applyFill="1" applyBorder="1" applyAlignment="1" applyProtection="1">
      <alignment horizontal="right"/>
    </xf>
    <xf numFmtId="4" fontId="143" fillId="36" borderId="3" xfId="181" applyNumberFormat="1" applyFont="1" applyFill="1" applyBorder="1" applyAlignment="1" applyProtection="1">
      <alignment horizontal="right"/>
    </xf>
    <xf numFmtId="228" fontId="143" fillId="36" borderId="0" xfId="220" applyNumberFormat="1" applyFont="1" applyFill="1" applyBorder="1" applyAlignment="1" applyProtection="1"/>
    <xf numFmtId="0" fontId="144" fillId="0" borderId="0" xfId="371" applyFont="1" applyFill="1" applyBorder="1" applyAlignment="1"/>
    <xf numFmtId="174" fontId="17" fillId="0" borderId="59" xfId="220" applyFont="1" applyFill="1" applyBorder="1" applyAlignment="1" applyProtection="1">
      <alignment horizontal="right"/>
    </xf>
    <xf numFmtId="174" fontId="142" fillId="0" borderId="59" xfId="220" applyFont="1" applyFill="1" applyBorder="1" applyAlignment="1" applyProtection="1">
      <alignment horizontal="right"/>
    </xf>
    <xf numFmtId="174" fontId="17" fillId="0" borderId="35" xfId="220" applyFont="1" applyFill="1" applyBorder="1" applyAlignment="1" applyProtection="1">
      <alignment horizontal="right"/>
    </xf>
    <xf numFmtId="174" fontId="130" fillId="0" borderId="40" xfId="220" applyFont="1" applyFill="1" applyBorder="1" applyAlignment="1" applyProtection="1">
      <alignment horizontal="right"/>
    </xf>
    <xf numFmtId="174" fontId="17" fillId="0" borderId="40" xfId="220" applyFont="1" applyFill="1" applyBorder="1" applyAlignment="1" applyProtection="1">
      <alignment horizontal="right"/>
    </xf>
    <xf numFmtId="174" fontId="130" fillId="0" borderId="68" xfId="220" applyFont="1" applyFill="1" applyBorder="1" applyAlignment="1" applyProtection="1">
      <alignment horizontal="right"/>
    </xf>
    <xf numFmtId="227" fontId="163" fillId="0" borderId="0" xfId="371" applyNumberFormat="1" applyFont="1"/>
    <xf numFmtId="230" fontId="163" fillId="34" borderId="0" xfId="371" applyNumberFormat="1" applyFont="1" applyFill="1"/>
    <xf numFmtId="0" fontId="163" fillId="0" borderId="0" xfId="371" applyFont="1"/>
    <xf numFmtId="4" fontId="163" fillId="0" borderId="0" xfId="371" applyNumberFormat="1" applyFont="1"/>
    <xf numFmtId="0" fontId="28" fillId="0" borderId="57" xfId="371" applyFont="1" applyFill="1" applyBorder="1" applyAlignment="1">
      <alignment horizontal="center"/>
    </xf>
    <xf numFmtId="225" fontId="191" fillId="0" borderId="0" xfId="181" applyFont="1" applyFill="1" applyBorder="1" applyAlignment="1" applyProtection="1"/>
    <xf numFmtId="0" fontId="161" fillId="0" borderId="0" xfId="0" applyFont="1" applyFill="1"/>
    <xf numFmtId="0" fontId="136" fillId="0" borderId="0" xfId="0" applyFont="1" applyFill="1"/>
    <xf numFmtId="4" fontId="136" fillId="0" borderId="0" xfId="0" applyNumberFormat="1" applyFont="1" applyFill="1"/>
    <xf numFmtId="4" fontId="28" fillId="0" borderId="53" xfId="181" applyNumberFormat="1" applyFont="1" applyFill="1" applyBorder="1" applyAlignment="1" applyProtection="1"/>
    <xf numFmtId="0" fontId="143" fillId="0" borderId="59" xfId="371" applyFont="1" applyFill="1" applyBorder="1" applyAlignment="1">
      <alignment horizontal="center"/>
    </xf>
    <xf numFmtId="3" fontId="163" fillId="0" borderId="0" xfId="371" applyNumberFormat="1" applyFont="1"/>
    <xf numFmtId="4" fontId="161" fillId="0" borderId="0" xfId="371" applyNumberFormat="1" applyFont="1"/>
    <xf numFmtId="0" fontId="161" fillId="0" borderId="0" xfId="371" applyFont="1"/>
    <xf numFmtId="0" fontId="191" fillId="0" borderId="62" xfId="371" applyFont="1" applyFill="1" applyBorder="1" applyAlignment="1">
      <alignment horizontal="center" vertical="center" wrapText="1"/>
    </xf>
    <xf numFmtId="0" fontId="143" fillId="0" borderId="59" xfId="371" applyFont="1" applyFill="1" applyBorder="1" applyAlignment="1">
      <alignment horizontal="center"/>
    </xf>
    <xf numFmtId="0" fontId="161" fillId="0" borderId="0" xfId="371" applyFont="1" applyAlignment="1">
      <alignment horizontal="center" vertical="center"/>
    </xf>
    <xf numFmtId="0" fontId="188" fillId="0" borderId="0" xfId="371" applyFont="1"/>
    <xf numFmtId="0" fontId="168" fillId="0" borderId="0" xfId="371" applyFont="1"/>
    <xf numFmtId="4" fontId="168" fillId="0" borderId="0" xfId="371" applyNumberFormat="1" applyFont="1"/>
    <xf numFmtId="0" fontId="168" fillId="0" borderId="0" xfId="371" applyFont="1" applyAlignment="1">
      <alignment horizontal="right"/>
    </xf>
    <xf numFmtId="0" fontId="188" fillId="0" borderId="0" xfId="371" applyFont="1" applyAlignment="1">
      <alignment horizontal="center" vertical="center"/>
    </xf>
    <xf numFmtId="0" fontId="143" fillId="0" borderId="56" xfId="371" applyFont="1" applyFill="1" applyBorder="1" applyAlignment="1">
      <alignment horizontal="center"/>
    </xf>
    <xf numFmtId="49" fontId="17" fillId="0" borderId="57" xfId="371" applyNumberFormat="1" applyFont="1" applyFill="1" applyBorder="1" applyAlignment="1">
      <alignment horizontal="center"/>
    </xf>
    <xf numFmtId="174" fontId="142" fillId="0" borderId="59" xfId="220" applyFont="1" applyFill="1" applyBorder="1" applyAlignment="1" applyProtection="1">
      <alignment horizontal="center"/>
    </xf>
    <xf numFmtId="174" fontId="146" fillId="0" borderId="59" xfId="220" applyFont="1" applyFill="1" applyBorder="1" applyAlignment="1" applyProtection="1">
      <alignment horizontal="right"/>
    </xf>
    <xf numFmtId="174" fontId="47" fillId="0" borderId="59" xfId="220" applyFont="1" applyFill="1" applyBorder="1" applyAlignment="1" applyProtection="1">
      <alignment horizontal="right"/>
    </xf>
    <xf numFmtId="174" fontId="17" fillId="0" borderId="59" xfId="220" applyFont="1" applyFill="1" applyBorder="1" applyAlignment="1" applyProtection="1"/>
    <xf numFmtId="49" fontId="196" fillId="0" borderId="62" xfId="371" applyNumberFormat="1" applyFont="1" applyFill="1" applyBorder="1" applyAlignment="1">
      <alignment horizontal="center" vertical="center" wrapText="1"/>
    </xf>
    <xf numFmtId="4" fontId="196" fillId="0" borderId="62" xfId="371" quotePrefix="1" applyNumberFormat="1" applyFont="1" applyFill="1" applyBorder="1" applyAlignment="1">
      <alignment horizontal="center" vertical="center" wrapText="1"/>
    </xf>
    <xf numFmtId="49" fontId="196" fillId="0" borderId="62" xfId="371" quotePrefix="1" applyNumberFormat="1" applyFont="1" applyFill="1" applyBorder="1" applyAlignment="1">
      <alignment horizontal="center" vertical="center" wrapText="1"/>
    </xf>
    <xf numFmtId="0" fontId="191" fillId="0" borderId="62" xfId="371" applyFont="1" applyBorder="1" applyAlignment="1">
      <alignment horizontal="center" vertical="center" wrapText="1"/>
    </xf>
    <xf numFmtId="0" fontId="191" fillId="0" borderId="62" xfId="371" applyFont="1" applyFill="1" applyBorder="1" applyAlignment="1"/>
    <xf numFmtId="228" fontId="191" fillId="0" borderId="62" xfId="220" applyNumberFormat="1" applyFont="1" applyFill="1" applyBorder="1" applyAlignment="1" applyProtection="1">
      <alignment horizontal="right"/>
    </xf>
    <xf numFmtId="4" fontId="191" fillId="0" borderId="62" xfId="220" applyNumberFormat="1" applyFont="1" applyFill="1" applyBorder="1" applyAlignment="1" applyProtection="1">
      <alignment horizontal="right"/>
    </xf>
    <xf numFmtId="174" fontId="191" fillId="0" borderId="62" xfId="220" applyFont="1" applyFill="1" applyBorder="1" applyAlignment="1" applyProtection="1">
      <alignment horizontal="center"/>
    </xf>
    <xf numFmtId="0" fontId="191" fillId="0" borderId="62" xfId="371" applyFont="1" applyFill="1" applyBorder="1" applyAlignment="1">
      <alignment horizontal="justify" vertical="center" wrapText="1"/>
    </xf>
    <xf numFmtId="228" fontId="191" fillId="0" borderId="62" xfId="220" applyNumberFormat="1" applyFont="1" applyFill="1" applyBorder="1" applyAlignment="1" applyProtection="1">
      <alignment horizontal="right" vertical="center" wrapText="1"/>
    </xf>
    <xf numFmtId="4" fontId="191" fillId="0" borderId="62" xfId="181" applyNumberFormat="1" applyFont="1" applyFill="1" applyBorder="1" applyAlignment="1" applyProtection="1">
      <alignment horizontal="right" vertical="center" wrapText="1"/>
    </xf>
    <xf numFmtId="229" fontId="191" fillId="0" borderId="62" xfId="181" applyNumberFormat="1" applyFont="1" applyFill="1" applyBorder="1" applyAlignment="1" applyProtection="1">
      <alignment horizontal="right" vertical="center" wrapText="1"/>
    </xf>
    <xf numFmtId="174" fontId="191" fillId="0" borderId="62" xfId="220" applyFont="1" applyFill="1" applyBorder="1" applyAlignment="1" applyProtection="1">
      <alignment horizontal="right" vertical="center" wrapText="1"/>
    </xf>
    <xf numFmtId="0" fontId="195" fillId="0" borderId="62" xfId="371" applyFont="1" applyBorder="1" applyAlignment="1">
      <alignment horizontal="center" vertical="center" wrapText="1"/>
    </xf>
    <xf numFmtId="0" fontId="195" fillId="0" borderId="62" xfId="371" applyFont="1" applyBorder="1" applyAlignment="1">
      <alignment horizontal="justify" vertical="center" wrapText="1"/>
    </xf>
    <xf numFmtId="227" fontId="195" fillId="0" borderId="62" xfId="222" applyNumberFormat="1" applyFont="1" applyFill="1" applyBorder="1" applyAlignment="1" applyProtection="1">
      <alignment horizontal="right"/>
    </xf>
    <xf numFmtId="227" fontId="195" fillId="0" borderId="62" xfId="222" applyNumberFormat="1" applyFont="1" applyFill="1" applyBorder="1" applyAlignment="1" applyProtection="1">
      <alignment horizontal="right" vertical="center" wrapText="1"/>
    </xf>
    <xf numFmtId="4" fontId="195" fillId="0" borderId="62" xfId="181" applyNumberFormat="1" applyFont="1" applyFill="1" applyBorder="1" applyAlignment="1" applyProtection="1">
      <alignment horizontal="right" vertical="center" wrapText="1"/>
    </xf>
    <xf numFmtId="229" fontId="195" fillId="0" borderId="62" xfId="181" applyNumberFormat="1" applyFont="1" applyFill="1" applyBorder="1" applyAlignment="1" applyProtection="1">
      <alignment horizontal="right" vertical="center" wrapText="1"/>
    </xf>
    <xf numFmtId="174" fontId="195" fillId="0" borderId="62" xfId="220" applyFont="1" applyFill="1" applyBorder="1" applyAlignment="1" applyProtection="1">
      <alignment horizontal="right" vertical="center" wrapText="1"/>
    </xf>
    <xf numFmtId="0" fontId="191" fillId="0" borderId="62" xfId="371" applyFont="1" applyBorder="1" applyAlignment="1">
      <alignment horizontal="justify" vertical="center" wrapText="1"/>
    </xf>
    <xf numFmtId="227" fontId="191" fillId="0" borderId="62" xfId="222" applyNumberFormat="1" applyFont="1" applyFill="1" applyBorder="1" applyAlignment="1" applyProtection="1">
      <alignment horizontal="right"/>
    </xf>
    <xf numFmtId="227" fontId="191" fillId="0" borderId="62" xfId="222" applyNumberFormat="1" applyFont="1" applyFill="1" applyBorder="1" applyAlignment="1" applyProtection="1">
      <alignment horizontal="right" vertical="center" wrapText="1"/>
    </xf>
    <xf numFmtId="0" fontId="195" fillId="0" borderId="62" xfId="371" applyFont="1" applyFill="1" applyBorder="1" applyAlignment="1">
      <alignment horizontal="justify" vertical="center" wrapText="1"/>
    </xf>
    <xf numFmtId="0" fontId="195" fillId="0" borderId="62" xfId="371" applyFont="1" applyFill="1" applyBorder="1" applyAlignment="1">
      <alignment horizontal="center" vertical="center" wrapText="1"/>
    </xf>
    <xf numFmtId="227" fontId="195" fillId="0" borderId="62" xfId="371" applyNumberFormat="1" applyFont="1" applyBorder="1"/>
    <xf numFmtId="227" fontId="195" fillId="0" borderId="62" xfId="371" applyNumberFormat="1" applyFont="1" applyBorder="1" applyAlignment="1">
      <alignment horizontal="right" vertical="center" wrapText="1"/>
    </xf>
    <xf numFmtId="0" fontId="196" fillId="0" borderId="62" xfId="371" applyFont="1" applyBorder="1" applyAlignment="1">
      <alignment horizontal="justify" vertical="center" wrapText="1"/>
    </xf>
    <xf numFmtId="227" fontId="196" fillId="0" borderId="62" xfId="222" applyNumberFormat="1" applyFont="1" applyFill="1" applyBorder="1" applyAlignment="1" applyProtection="1">
      <alignment horizontal="right"/>
    </xf>
    <xf numFmtId="227" fontId="196" fillId="0" borderId="62" xfId="222" applyNumberFormat="1" applyFont="1" applyFill="1" applyBorder="1" applyAlignment="1" applyProtection="1">
      <alignment horizontal="right" vertical="center" wrapText="1"/>
    </xf>
    <xf numFmtId="4" fontId="196" fillId="0" borderId="62" xfId="181" applyNumberFormat="1" applyFont="1" applyFill="1" applyBorder="1" applyAlignment="1" applyProtection="1">
      <alignment horizontal="right" vertical="center" wrapText="1"/>
    </xf>
    <xf numFmtId="174" fontId="196" fillId="0" borderId="62" xfId="220" applyFont="1" applyFill="1" applyBorder="1" applyAlignment="1" applyProtection="1">
      <alignment horizontal="right" vertical="center" wrapText="1"/>
    </xf>
    <xf numFmtId="229" fontId="196" fillId="0" borderId="62" xfId="181" applyNumberFormat="1" applyFont="1" applyFill="1" applyBorder="1" applyAlignment="1" applyProtection="1"/>
    <xf numFmtId="229" fontId="196" fillId="0" borderId="62" xfId="181" applyNumberFormat="1" applyFont="1" applyFill="1" applyBorder="1" applyAlignment="1" applyProtection="1">
      <alignment horizontal="right" vertical="center" wrapText="1"/>
    </xf>
    <xf numFmtId="230" fontId="195" fillId="0" borderId="62" xfId="222" applyNumberFormat="1" applyFont="1" applyFill="1" applyBorder="1" applyAlignment="1" applyProtection="1">
      <alignment horizontal="right"/>
    </xf>
    <xf numFmtId="4" fontId="195" fillId="0" borderId="62" xfId="222" applyNumberFormat="1" applyFont="1" applyFill="1" applyBorder="1" applyAlignment="1" applyProtection="1">
      <alignment horizontal="right" vertical="center" wrapText="1"/>
    </xf>
    <xf numFmtId="4" fontId="195" fillId="23" borderId="62" xfId="181" applyNumberFormat="1" applyFont="1" applyFill="1" applyBorder="1" applyAlignment="1" applyProtection="1">
      <alignment horizontal="right" vertical="center" wrapText="1"/>
    </xf>
    <xf numFmtId="0" fontId="196" fillId="0" borderId="62" xfId="371" applyFont="1" applyBorder="1" applyAlignment="1">
      <alignment horizontal="center" vertical="center" wrapText="1"/>
    </xf>
    <xf numFmtId="4" fontId="191" fillId="0" borderId="62" xfId="222" applyNumberFormat="1" applyFont="1" applyFill="1" applyBorder="1" applyAlignment="1" applyProtection="1">
      <alignment horizontal="right" vertical="center" wrapText="1"/>
    </xf>
    <xf numFmtId="229" fontId="191" fillId="0" borderId="62" xfId="181" applyNumberFormat="1" applyFont="1" applyFill="1" applyBorder="1" applyAlignment="1" applyProtection="1"/>
    <xf numFmtId="0" fontId="144" fillId="0" borderId="0" xfId="371" applyFont="1" applyFill="1" applyBorder="1" applyAlignment="1">
      <alignment horizontal="center" vertical="center"/>
    </xf>
    <xf numFmtId="0" fontId="174" fillId="0" borderId="0" xfId="371" applyFont="1" applyFill="1" applyBorder="1" applyAlignment="1">
      <alignment horizontal="center" vertical="center"/>
    </xf>
    <xf numFmtId="174" fontId="192" fillId="0" borderId="59" xfId="220" applyFont="1" applyFill="1" applyBorder="1" applyAlignment="1" applyProtection="1">
      <alignment horizontal="right"/>
    </xf>
    <xf numFmtId="229" fontId="197" fillId="0" borderId="62" xfId="181" applyNumberFormat="1" applyFont="1" applyFill="1" applyBorder="1" applyAlignment="1" applyProtection="1">
      <alignment horizontal="right" vertical="center" wrapText="1"/>
    </xf>
    <xf numFmtId="174" fontId="192" fillId="0" borderId="59" xfId="220" applyFont="1" applyFill="1" applyBorder="1" applyAlignment="1" applyProtection="1">
      <alignment horizontal="right" vertical="center" wrapText="1"/>
    </xf>
    <xf numFmtId="0" fontId="163" fillId="0" borderId="0" xfId="371" applyFont="1" applyAlignment="1">
      <alignment vertical="center" wrapText="1"/>
    </xf>
    <xf numFmtId="174" fontId="163" fillId="0" borderId="59" xfId="220" applyFont="1" applyFill="1" applyBorder="1" applyAlignment="1" applyProtection="1">
      <alignment horizontal="right"/>
    </xf>
    <xf numFmtId="0" fontId="188" fillId="0" borderId="0" xfId="371" applyFont="1" applyAlignment="1">
      <alignment horizontal="left" vertical="center"/>
    </xf>
    <xf numFmtId="0" fontId="168" fillId="0" borderId="0" xfId="371" applyFont="1" applyAlignment="1">
      <alignment horizontal="center"/>
    </xf>
    <xf numFmtId="0" fontId="153" fillId="0" borderId="0" xfId="371" applyFont="1" applyFill="1" applyBorder="1" applyAlignment="1">
      <alignment horizontal="center" vertical="center"/>
    </xf>
    <xf numFmtId="0" fontId="17" fillId="0" borderId="59" xfId="371" applyFont="1" applyFill="1" applyBorder="1" applyAlignment="1">
      <alignment horizontal="center" vertical="center"/>
    </xf>
    <xf numFmtId="0" fontId="17" fillId="0" borderId="57" xfId="371" applyFont="1" applyFill="1" applyBorder="1" applyAlignment="1">
      <alignment horizontal="center"/>
    </xf>
    <xf numFmtId="49" fontId="17" fillId="0" borderId="59" xfId="371" applyNumberFormat="1" applyFont="1" applyFill="1" applyBorder="1" applyAlignment="1">
      <alignment horizontal="center"/>
    </xf>
    <xf numFmtId="174" fontId="142" fillId="0" borderId="59" xfId="221" applyFont="1" applyFill="1" applyBorder="1" applyAlignment="1" applyProtection="1">
      <alignment horizontal="right"/>
    </xf>
    <xf numFmtId="174" fontId="17" fillId="0" borderId="35" xfId="221" applyFont="1" applyFill="1" applyBorder="1" applyAlignment="1" applyProtection="1">
      <alignment horizontal="right"/>
    </xf>
    <xf numFmtId="174" fontId="146" fillId="0" borderId="40" xfId="221" applyFont="1" applyFill="1" applyBorder="1" applyAlignment="1" applyProtection="1">
      <alignment horizontal="right"/>
    </xf>
    <xf numFmtId="174" fontId="192" fillId="0" borderId="40" xfId="221" applyFont="1" applyFill="1" applyBorder="1" applyAlignment="1" applyProtection="1">
      <alignment horizontal="right"/>
    </xf>
    <xf numFmtId="174" fontId="146" fillId="0" borderId="40" xfId="221" applyFont="1" applyFill="1" applyBorder="1" applyAlignment="1" applyProtection="1">
      <alignment horizontal="right" vertical="center" wrapText="1"/>
    </xf>
    <xf numFmtId="174" fontId="47" fillId="0" borderId="40" xfId="221" applyFont="1" applyFill="1" applyBorder="1" applyAlignment="1" applyProtection="1">
      <alignment horizontal="right"/>
    </xf>
    <xf numFmtId="174" fontId="148" fillId="0" borderId="40" xfId="221" applyFont="1" applyFill="1" applyBorder="1" applyAlignment="1" applyProtection="1">
      <alignment horizontal="right"/>
    </xf>
    <xf numFmtId="174" fontId="146" fillId="0" borderId="65" xfId="221" applyFont="1" applyFill="1" applyBorder="1" applyAlignment="1" applyProtection="1">
      <alignment horizontal="right"/>
    </xf>
    <xf numFmtId="174" fontId="193" fillId="0" borderId="57" xfId="221" applyFont="1" applyFill="1" applyBorder="1" applyAlignment="1" applyProtection="1">
      <alignment horizontal="right"/>
    </xf>
    <xf numFmtId="0" fontId="47" fillId="0" borderId="59" xfId="221" applyNumberFormat="1" applyFont="1" applyFill="1" applyBorder="1" applyAlignment="1" applyProtection="1">
      <alignment horizontal="right"/>
    </xf>
    <xf numFmtId="174" fontId="47" fillId="0" borderId="35" xfId="221" applyFont="1" applyFill="1" applyBorder="1" applyAlignment="1" applyProtection="1">
      <alignment horizontal="right"/>
    </xf>
    <xf numFmtId="174" fontId="17" fillId="0" borderId="40" xfId="221" applyFont="1" applyFill="1" applyBorder="1" applyAlignment="1" applyProtection="1">
      <alignment horizontal="right"/>
    </xf>
    <xf numFmtId="174" fontId="138" fillId="0" borderId="40" xfId="221" applyFont="1" applyFill="1" applyBorder="1" applyAlignment="1" applyProtection="1">
      <alignment horizontal="right"/>
    </xf>
    <xf numFmtId="174" fontId="138" fillId="0" borderId="65" xfId="221" applyFont="1" applyFill="1" applyBorder="1" applyAlignment="1" applyProtection="1">
      <alignment horizontal="right"/>
    </xf>
    <xf numFmtId="174" fontId="138" fillId="0" borderId="65" xfId="221" applyFont="1" applyFill="1" applyBorder="1" applyAlignment="1" applyProtection="1"/>
    <xf numFmtId="174" fontId="138" fillId="0" borderId="40" xfId="221" applyFont="1" applyFill="1" applyBorder="1" applyAlignment="1" applyProtection="1"/>
    <xf numFmtId="174" fontId="194" fillId="0" borderId="68" xfId="221" applyFont="1" applyFill="1" applyBorder="1" applyAlignment="1" applyProtection="1"/>
    <xf numFmtId="49" fontId="191" fillId="0" borderId="62" xfId="371" applyNumberFormat="1" applyFont="1" applyFill="1" applyBorder="1" applyAlignment="1">
      <alignment horizontal="center" vertical="center" wrapText="1"/>
    </xf>
    <xf numFmtId="49" fontId="198" fillId="0" borderId="62" xfId="371" applyNumberFormat="1" applyFont="1" applyFill="1" applyBorder="1" applyAlignment="1">
      <alignment horizontal="center" vertical="center" wrapText="1"/>
    </xf>
    <xf numFmtId="49" fontId="191" fillId="0" borderId="62" xfId="371" applyNumberFormat="1" applyFont="1" applyBorder="1" applyAlignment="1">
      <alignment horizontal="center" vertical="center" wrapText="1"/>
    </xf>
    <xf numFmtId="49" fontId="195" fillId="0" borderId="62" xfId="371" applyNumberFormat="1" applyFont="1" applyBorder="1" applyAlignment="1">
      <alignment horizontal="center" vertical="center" wrapText="1"/>
    </xf>
    <xf numFmtId="49" fontId="195" fillId="0" borderId="62" xfId="371" applyNumberFormat="1" applyFont="1" applyFill="1" applyBorder="1" applyAlignment="1">
      <alignment horizontal="center" vertical="center" wrapText="1"/>
    </xf>
    <xf numFmtId="49" fontId="191" fillId="0" borderId="62" xfId="371" applyNumberFormat="1" applyFont="1" applyBorder="1" applyAlignment="1">
      <alignment horizontal="justify" vertical="center" wrapText="1"/>
    </xf>
    <xf numFmtId="3" fontId="191" fillId="0" borderId="62" xfId="181" applyNumberFormat="1" applyFont="1" applyFill="1" applyBorder="1" applyAlignment="1" applyProtection="1">
      <alignment horizontal="right" vertical="center" wrapText="1"/>
    </xf>
    <xf numFmtId="225" fontId="191" fillId="0" borderId="62" xfId="181" applyFont="1" applyFill="1" applyBorder="1" applyAlignment="1" applyProtection="1">
      <alignment horizontal="right" vertical="center" wrapText="1"/>
    </xf>
    <xf numFmtId="49" fontId="195" fillId="0" borderId="62" xfId="371" applyNumberFormat="1" applyFont="1" applyFill="1" applyBorder="1" applyAlignment="1">
      <alignment horizontal="justify" vertical="center" wrapText="1"/>
    </xf>
    <xf numFmtId="3" fontId="195" fillId="0" borderId="62" xfId="222" applyNumberFormat="1" applyFont="1" applyFill="1" applyBorder="1" applyAlignment="1" applyProtection="1">
      <alignment horizontal="right" vertical="center" wrapText="1"/>
    </xf>
    <xf numFmtId="225" fontId="195" fillId="0" borderId="62" xfId="181" applyFont="1" applyFill="1" applyBorder="1" applyAlignment="1" applyProtection="1">
      <alignment horizontal="right" vertical="center" wrapText="1"/>
    </xf>
    <xf numFmtId="49" fontId="196" fillId="0" borderId="62" xfId="371" applyNumberFormat="1" applyFont="1" applyBorder="1" applyAlignment="1">
      <alignment horizontal="center" vertical="center" wrapText="1"/>
    </xf>
    <xf numFmtId="49" fontId="196" fillId="0" borderId="62" xfId="371" quotePrefix="1" applyNumberFormat="1" applyFont="1" applyFill="1" applyBorder="1" applyAlignment="1">
      <alignment horizontal="justify" vertical="center" wrapText="1"/>
    </xf>
    <xf numFmtId="3" fontId="196" fillId="0" borderId="62" xfId="222" applyNumberFormat="1" applyFont="1" applyFill="1" applyBorder="1" applyAlignment="1" applyProtection="1">
      <alignment horizontal="right" vertical="center" wrapText="1"/>
    </xf>
    <xf numFmtId="225" fontId="196" fillId="0" borderId="62" xfId="181" applyFont="1" applyFill="1" applyBorder="1" applyAlignment="1" applyProtection="1">
      <alignment horizontal="right" vertical="center" wrapText="1"/>
    </xf>
    <xf numFmtId="230" fontId="196" fillId="0" borderId="62" xfId="222" applyNumberFormat="1" applyFont="1" applyFill="1" applyBorder="1" applyAlignment="1" applyProtection="1">
      <alignment horizontal="right" vertical="center" wrapText="1"/>
    </xf>
    <xf numFmtId="49" fontId="195" fillId="0" borderId="62" xfId="371" applyNumberFormat="1" applyFont="1" applyBorder="1" applyAlignment="1">
      <alignment horizontal="justify" vertical="center" wrapText="1"/>
    </xf>
    <xf numFmtId="230" fontId="195" fillId="0" borderId="62" xfId="222" applyNumberFormat="1" applyFont="1" applyFill="1" applyBorder="1" applyAlignment="1" applyProtection="1">
      <alignment horizontal="right" vertical="center" wrapText="1"/>
    </xf>
    <xf numFmtId="49" fontId="196" fillId="0" borderId="62" xfId="371" quotePrefix="1" applyNumberFormat="1" applyFont="1" applyBorder="1" applyAlignment="1">
      <alignment horizontal="justify" vertical="center" wrapText="1"/>
    </xf>
    <xf numFmtId="230" fontId="191" fillId="0" borderId="62" xfId="222" applyNumberFormat="1" applyFont="1" applyFill="1" applyBorder="1" applyAlignment="1" applyProtection="1">
      <alignment horizontal="right" vertical="center" wrapText="1"/>
    </xf>
    <xf numFmtId="49" fontId="195" fillId="0" borderId="62" xfId="371" quotePrefix="1" applyNumberFormat="1" applyFont="1" applyBorder="1" applyAlignment="1">
      <alignment horizontal="justify" vertical="center" wrapText="1"/>
    </xf>
    <xf numFmtId="1" fontId="152" fillId="34" borderId="53" xfId="0" applyNumberFormat="1" applyFont="1" applyFill="1" applyBorder="1"/>
    <xf numFmtId="4" fontId="143" fillId="34" borderId="53" xfId="181" applyNumberFormat="1" applyFont="1" applyFill="1" applyBorder="1" applyAlignment="1" applyProtection="1"/>
    <xf numFmtId="4" fontId="143" fillId="34" borderId="53" xfId="181" applyNumberFormat="1" applyFont="1" applyFill="1" applyBorder="1" applyAlignment="1" applyProtection="1">
      <alignment horizontal="right"/>
    </xf>
    <xf numFmtId="49" fontId="189" fillId="0" borderId="3" xfId="0" applyNumberFormat="1" applyFont="1" applyFill="1" applyBorder="1" applyAlignment="1">
      <alignment horizontal="center" vertical="center" wrapText="1"/>
    </xf>
    <xf numFmtId="4" fontId="189" fillId="0" borderId="3" xfId="181" applyNumberFormat="1" applyFont="1" applyFill="1" applyBorder="1" applyAlignment="1" applyProtection="1"/>
    <xf numFmtId="4" fontId="187" fillId="0" borderId="3" xfId="181" applyNumberFormat="1" applyFont="1" applyFill="1" applyBorder="1" applyAlignment="1" applyProtection="1"/>
    <xf numFmtId="233" fontId="187" fillId="0" borderId="3" xfId="181" applyNumberFormat="1" applyFont="1" applyFill="1" applyBorder="1" applyAlignment="1" applyProtection="1"/>
    <xf numFmtId="4" fontId="198" fillId="34" borderId="3" xfId="181" applyNumberFormat="1" applyFont="1" applyFill="1" applyBorder="1" applyAlignment="1" applyProtection="1"/>
    <xf numFmtId="4" fontId="187" fillId="34" borderId="3" xfId="181" applyNumberFormat="1" applyFont="1" applyFill="1" applyBorder="1" applyAlignment="1" applyProtection="1"/>
    <xf numFmtId="4" fontId="189" fillId="0" borderId="3" xfId="181" applyNumberFormat="1" applyFont="1" applyFill="1" applyBorder="1" applyAlignment="1" applyProtection="1">
      <alignment horizontal="right" vertical="center" wrapText="1"/>
    </xf>
    <xf numFmtId="4" fontId="187" fillId="0" borderId="3" xfId="181" applyNumberFormat="1" applyFont="1" applyFill="1" applyBorder="1" applyAlignment="1" applyProtection="1">
      <alignment horizontal="right" vertical="center" wrapText="1"/>
    </xf>
    <xf numFmtId="233" fontId="187" fillId="0" borderId="3" xfId="181" applyNumberFormat="1" applyFont="1" applyFill="1" applyBorder="1" applyAlignment="1" applyProtection="1">
      <alignment horizontal="right" vertical="center" wrapText="1"/>
    </xf>
    <xf numFmtId="4" fontId="198" fillId="0" borderId="3" xfId="181" applyNumberFormat="1" applyFont="1" applyFill="1" applyBorder="1" applyAlignment="1" applyProtection="1">
      <alignment horizontal="right" vertical="center" wrapText="1"/>
    </xf>
    <xf numFmtId="4" fontId="198" fillId="34" borderId="3" xfId="181" applyNumberFormat="1" applyFont="1" applyFill="1" applyBorder="1" applyAlignment="1" applyProtection="1">
      <alignment horizontal="right" vertical="center" wrapText="1"/>
    </xf>
    <xf numFmtId="4" fontId="187" fillId="34" borderId="3" xfId="181" applyNumberFormat="1" applyFont="1" applyFill="1" applyBorder="1" applyAlignment="1" applyProtection="1">
      <alignment horizontal="right" vertical="center" wrapText="1"/>
    </xf>
    <xf numFmtId="4" fontId="187" fillId="36" borderId="3" xfId="181" applyNumberFormat="1" applyFont="1" applyFill="1" applyBorder="1" applyAlignment="1" applyProtection="1">
      <alignment horizontal="right" vertical="center" wrapText="1"/>
    </xf>
    <xf numFmtId="1" fontId="189" fillId="0" borderId="3" xfId="0" applyNumberFormat="1" applyFont="1" applyFill="1" applyBorder="1" applyAlignment="1">
      <alignment horizontal="center" vertical="center"/>
    </xf>
    <xf numFmtId="1" fontId="189" fillId="0" borderId="3" xfId="0" applyNumberFormat="1" applyFont="1" applyFill="1" applyBorder="1" applyAlignment="1">
      <alignment horizontal="justify" vertical="center" wrapText="1"/>
    </xf>
    <xf numFmtId="1" fontId="187" fillId="0" borderId="3" xfId="0" applyNumberFormat="1" applyFont="1" applyFill="1" applyBorder="1" applyAlignment="1">
      <alignment horizontal="justify" vertical="center" wrapText="1"/>
    </xf>
    <xf numFmtId="1" fontId="198" fillId="0" borderId="3" xfId="0" applyNumberFormat="1" applyFont="1" applyFill="1" applyBorder="1" applyAlignment="1">
      <alignment horizontal="justify" vertical="center" wrapText="1"/>
    </xf>
    <xf numFmtId="1" fontId="198" fillId="34" borderId="3" xfId="0" applyNumberFormat="1" applyFont="1" applyFill="1" applyBorder="1" applyAlignment="1">
      <alignment horizontal="justify" vertical="center" wrapText="1"/>
    </xf>
    <xf numFmtId="1" fontId="187" fillId="34" borderId="3" xfId="0" applyNumberFormat="1" applyFont="1" applyFill="1" applyBorder="1" applyAlignment="1">
      <alignment horizontal="justify" vertical="center" wrapText="1"/>
    </xf>
    <xf numFmtId="1" fontId="188" fillId="0" borderId="0" xfId="0" applyNumberFormat="1" applyFont="1" applyFill="1"/>
    <xf numFmtId="1" fontId="168" fillId="0" borderId="0" xfId="0" applyNumberFormat="1" applyFont="1" applyFill="1"/>
    <xf numFmtId="1" fontId="199" fillId="0" borderId="0" xfId="0" applyNumberFormat="1" applyFont="1" applyFill="1"/>
    <xf numFmtId="0" fontId="168" fillId="0" borderId="0" xfId="0" applyFont="1" applyFill="1"/>
    <xf numFmtId="1" fontId="131" fillId="0" borderId="0" xfId="0" applyNumberFormat="1" applyFont="1" applyFill="1" applyBorder="1" applyAlignment="1">
      <alignment horizontal="center" vertical="center"/>
    </xf>
    <xf numFmtId="232" fontId="198" fillId="0" borderId="3" xfId="0" applyNumberFormat="1" applyFont="1" applyFill="1" applyBorder="1" applyAlignment="1">
      <alignment horizontal="center" vertical="center"/>
    </xf>
    <xf numFmtId="1" fontId="198" fillId="0" borderId="3" xfId="0" applyNumberFormat="1" applyFont="1" applyFill="1" applyBorder="1" applyAlignment="1">
      <alignment horizontal="center" vertical="center"/>
    </xf>
    <xf numFmtId="0" fontId="198" fillId="0" borderId="3" xfId="0" applyFont="1" applyFill="1" applyBorder="1" applyAlignment="1">
      <alignment horizontal="center" vertical="center"/>
    </xf>
    <xf numFmtId="3" fontId="189" fillId="0" borderId="3" xfId="181" applyNumberFormat="1" applyFont="1" applyFill="1" applyBorder="1" applyAlignment="1" applyProtection="1">
      <alignment horizontal="right" vertical="center" wrapText="1"/>
    </xf>
    <xf numFmtId="3" fontId="187" fillId="0" borderId="3" xfId="181" applyNumberFormat="1" applyFont="1" applyFill="1" applyBorder="1" applyAlignment="1" applyProtection="1">
      <alignment horizontal="right" vertical="center" wrapText="1"/>
    </xf>
    <xf numFmtId="49" fontId="30" fillId="0" borderId="59" xfId="371" applyNumberFormat="1" applyFont="1" applyFill="1" applyBorder="1" applyAlignment="1">
      <alignment horizontal="center"/>
    </xf>
    <xf numFmtId="49" fontId="30" fillId="0" borderId="56" xfId="371" applyNumberFormat="1" applyFont="1" applyFill="1" applyBorder="1" applyAlignment="1">
      <alignment horizontal="center"/>
    </xf>
    <xf numFmtId="174" fontId="143" fillId="0" borderId="64" xfId="220" applyFont="1" applyFill="1" applyBorder="1" applyAlignment="1" applyProtection="1">
      <alignment horizontal="center"/>
    </xf>
    <xf numFmtId="174" fontId="143" fillId="0" borderId="40" xfId="220" applyFont="1" applyFill="1" applyBorder="1" applyAlignment="1" applyProtection="1">
      <alignment horizontal="right"/>
    </xf>
    <xf numFmtId="174" fontId="28" fillId="0" borderId="40" xfId="220" applyFont="1" applyFill="1" applyBorder="1" applyAlignment="1" applyProtection="1">
      <alignment horizontal="right"/>
    </xf>
    <xf numFmtId="174" fontId="151" fillId="0" borderId="40" xfId="220" applyFont="1" applyFill="1" applyBorder="1" applyAlignment="1" applyProtection="1">
      <alignment horizontal="right"/>
    </xf>
    <xf numFmtId="174" fontId="196" fillId="0" borderId="40" xfId="220" applyFont="1" applyFill="1" applyBorder="1" applyAlignment="1" applyProtection="1">
      <alignment horizontal="right"/>
    </xf>
    <xf numFmtId="174" fontId="154" fillId="0" borderId="40" xfId="220" applyFont="1" applyFill="1" applyBorder="1" applyAlignment="1" applyProtection="1">
      <alignment horizontal="right"/>
    </xf>
    <xf numFmtId="227" fontId="143" fillId="0" borderId="40" xfId="222" applyNumberFormat="1" applyFont="1" applyFill="1" applyBorder="1" applyAlignment="1" applyProtection="1">
      <alignment horizontal="right"/>
    </xf>
    <xf numFmtId="227" fontId="28" fillId="0" borderId="40" xfId="222" applyNumberFormat="1" applyFont="1" applyFill="1" applyBorder="1" applyAlignment="1" applyProtection="1">
      <alignment horizontal="right"/>
    </xf>
    <xf numFmtId="0" fontId="28" fillId="23" borderId="53" xfId="371" applyFont="1" applyFill="1" applyBorder="1"/>
    <xf numFmtId="0" fontId="143" fillId="23" borderId="53" xfId="371" applyFont="1" applyFill="1" applyBorder="1" applyAlignment="1">
      <alignment horizontal="center"/>
    </xf>
    <xf numFmtId="227" fontId="143" fillId="23" borderId="53" xfId="222" applyNumberFormat="1" applyFont="1" applyFill="1" applyBorder="1" applyAlignment="1" applyProtection="1">
      <alignment horizontal="right"/>
    </xf>
    <xf numFmtId="3" fontId="143" fillId="23" borderId="53" xfId="222" applyNumberFormat="1" applyFont="1" applyFill="1" applyBorder="1" applyAlignment="1" applyProtection="1">
      <alignment horizontal="right"/>
    </xf>
    <xf numFmtId="4" fontId="143" fillId="23" borderId="53" xfId="181" applyNumberFormat="1" applyFont="1" applyFill="1" applyBorder="1" applyAlignment="1" applyProtection="1">
      <alignment horizontal="right"/>
    </xf>
    <xf numFmtId="4" fontId="143" fillId="0" borderId="53" xfId="181" applyNumberFormat="1" applyFont="1" applyFill="1" applyBorder="1" applyAlignment="1" applyProtection="1">
      <alignment horizontal="right"/>
    </xf>
    <xf numFmtId="4" fontId="191" fillId="0" borderId="62" xfId="371" applyNumberFormat="1" applyFont="1" applyFill="1" applyBorder="1" applyAlignment="1">
      <alignment horizontal="right" vertical="center" wrapText="1"/>
    </xf>
    <xf numFmtId="233" fontId="196" fillId="23" borderId="62" xfId="222" applyNumberFormat="1" applyFont="1" applyFill="1" applyBorder="1" applyAlignment="1" applyProtection="1">
      <alignment horizontal="right" vertical="center" wrapText="1"/>
    </xf>
    <xf numFmtId="3" fontId="196" fillId="23" borderId="62" xfId="181" applyNumberFormat="1" applyFont="1" applyFill="1" applyBorder="1" applyAlignment="1" applyProtection="1">
      <alignment horizontal="right" vertical="center" wrapText="1"/>
    </xf>
    <xf numFmtId="4" fontId="196" fillId="23" borderId="62" xfId="181" applyNumberFormat="1" applyFont="1" applyFill="1" applyBorder="1" applyAlignment="1" applyProtection="1">
      <alignment horizontal="right" vertical="center" wrapText="1"/>
    </xf>
    <xf numFmtId="4" fontId="138" fillId="23" borderId="62" xfId="181" applyNumberFormat="1" applyFont="1" applyFill="1" applyBorder="1" applyAlignment="1" applyProtection="1">
      <alignment horizontal="right" vertical="center" wrapText="1"/>
    </xf>
    <xf numFmtId="49" fontId="191" fillId="0" borderId="62" xfId="371" applyNumberFormat="1" applyFont="1" applyFill="1" applyBorder="1" applyAlignment="1">
      <alignment horizontal="center" vertical="center"/>
    </xf>
    <xf numFmtId="0" fontId="196" fillId="23" borderId="62" xfId="371" applyFont="1" applyFill="1" applyBorder="1" applyAlignment="1">
      <alignment horizontal="center" vertical="center" wrapText="1"/>
    </xf>
    <xf numFmtId="0" fontId="196" fillId="23" borderId="62" xfId="371" applyFont="1" applyFill="1" applyBorder="1" applyAlignment="1">
      <alignment horizontal="justify" vertical="center" wrapText="1"/>
    </xf>
    <xf numFmtId="49" fontId="132" fillId="0" borderId="62" xfId="371" applyNumberFormat="1" applyFont="1" applyFill="1" applyBorder="1" applyAlignment="1">
      <alignment horizontal="center" vertical="center"/>
    </xf>
    <xf numFmtId="4" fontId="132" fillId="0" borderId="62" xfId="371" applyNumberFormat="1" applyFont="1" applyFill="1" applyBorder="1" applyAlignment="1">
      <alignment horizontal="right" vertical="center" wrapText="1"/>
    </xf>
    <xf numFmtId="4" fontId="132" fillId="23" borderId="62" xfId="181" applyNumberFormat="1" applyFont="1" applyFill="1" applyBorder="1" applyAlignment="1" applyProtection="1">
      <alignment horizontal="right" vertical="center" wrapText="1"/>
    </xf>
    <xf numFmtId="0" fontId="132" fillId="23" borderId="62" xfId="371" applyFont="1" applyFill="1" applyBorder="1" applyAlignment="1">
      <alignment horizontal="center" vertical="center" wrapText="1"/>
    </xf>
    <xf numFmtId="0" fontId="132" fillId="23" borderId="62" xfId="371" applyFont="1" applyFill="1" applyBorder="1" applyAlignment="1">
      <alignment horizontal="justify" vertical="center" wrapText="1"/>
    </xf>
    <xf numFmtId="228" fontId="132" fillId="23" borderId="62" xfId="220" applyNumberFormat="1" applyFont="1" applyFill="1" applyBorder="1" applyAlignment="1" applyProtection="1">
      <alignment horizontal="right" vertical="center" wrapText="1"/>
    </xf>
    <xf numFmtId="4" fontId="132" fillId="0" borderId="62" xfId="181" applyNumberFormat="1" applyFont="1" applyFill="1" applyBorder="1" applyAlignment="1" applyProtection="1">
      <alignment horizontal="right" vertical="center" wrapText="1"/>
    </xf>
    <xf numFmtId="227" fontId="132" fillId="23" borderId="62" xfId="222" applyNumberFormat="1" applyFont="1" applyFill="1" applyBorder="1" applyAlignment="1" applyProtection="1">
      <alignment horizontal="right" vertical="center" wrapText="1"/>
    </xf>
    <xf numFmtId="233" fontId="132" fillId="23" borderId="62" xfId="222" applyNumberFormat="1" applyFont="1" applyFill="1" applyBorder="1" applyAlignment="1" applyProtection="1">
      <alignment horizontal="right" vertical="center" wrapText="1"/>
    </xf>
    <xf numFmtId="0" fontId="30" fillId="23" borderId="62" xfId="371" applyFont="1" applyFill="1" applyBorder="1" applyAlignment="1">
      <alignment horizontal="center" vertical="center" wrapText="1"/>
    </xf>
    <xf numFmtId="0" fontId="30" fillId="23" borderId="62" xfId="371" applyFont="1" applyFill="1" applyBorder="1" applyAlignment="1">
      <alignment horizontal="justify" vertical="center" wrapText="1"/>
    </xf>
    <xf numFmtId="4" fontId="30" fillId="0" borderId="62" xfId="181" applyNumberFormat="1" applyFont="1" applyFill="1" applyBorder="1" applyAlignment="1" applyProtection="1">
      <alignment horizontal="right" vertical="center" wrapText="1"/>
    </xf>
    <xf numFmtId="4" fontId="30" fillId="23" borderId="62" xfId="181" applyNumberFormat="1" applyFont="1" applyFill="1" applyBorder="1" applyAlignment="1" applyProtection="1">
      <alignment horizontal="right" vertical="center" wrapText="1"/>
    </xf>
    <xf numFmtId="3" fontId="132" fillId="0" borderId="62" xfId="222" applyNumberFormat="1" applyFont="1" applyFill="1" applyBorder="1" applyAlignment="1" applyProtection="1">
      <alignment horizontal="right" vertical="center" wrapText="1"/>
    </xf>
    <xf numFmtId="3" fontId="132" fillId="23" borderId="62" xfId="222" applyNumberFormat="1" applyFont="1" applyFill="1" applyBorder="1" applyAlignment="1" applyProtection="1">
      <alignment horizontal="right" vertical="center" wrapText="1"/>
    </xf>
    <xf numFmtId="0" fontId="138" fillId="23" borderId="62" xfId="371" applyFont="1" applyFill="1" applyBorder="1" applyAlignment="1">
      <alignment horizontal="justify" vertical="center" wrapText="1"/>
    </xf>
    <xf numFmtId="3" fontId="138" fillId="23" borderId="62" xfId="222" applyNumberFormat="1" applyFont="1" applyFill="1" applyBorder="1" applyAlignment="1" applyProtection="1">
      <alignment horizontal="right" vertical="center" wrapText="1"/>
    </xf>
    <xf numFmtId="4" fontId="138" fillId="0" borderId="62" xfId="181" applyNumberFormat="1" applyFont="1" applyFill="1" applyBorder="1" applyAlignment="1" applyProtection="1">
      <alignment horizontal="right" vertical="center" wrapText="1"/>
    </xf>
    <xf numFmtId="3" fontId="30" fillId="23" borderId="62" xfId="222" applyNumberFormat="1" applyFont="1" applyFill="1" applyBorder="1" applyAlignment="1" applyProtection="1">
      <alignment horizontal="right" vertical="center" wrapText="1"/>
    </xf>
    <xf numFmtId="0" fontId="138" fillId="23" borderId="62" xfId="371" applyFont="1" applyFill="1" applyBorder="1" applyAlignment="1">
      <alignment horizontal="center" vertical="center" wrapText="1"/>
    </xf>
    <xf numFmtId="3" fontId="30" fillId="0" borderId="62" xfId="361" applyNumberFormat="1" applyFont="1" applyFill="1" applyBorder="1" applyAlignment="1">
      <alignment horizontal="right" vertical="center" wrapText="1"/>
    </xf>
    <xf numFmtId="3" fontId="132" fillId="23" borderId="62" xfId="181" applyNumberFormat="1" applyFont="1" applyFill="1" applyBorder="1" applyAlignment="1" applyProtection="1">
      <alignment horizontal="right" vertical="center" wrapText="1"/>
    </xf>
    <xf numFmtId="3" fontId="30" fillId="23" borderId="62" xfId="181" applyNumberFormat="1" applyFont="1" applyFill="1" applyBorder="1" applyAlignment="1" applyProtection="1">
      <alignment horizontal="right" vertical="center" wrapText="1"/>
    </xf>
    <xf numFmtId="227" fontId="30" fillId="23" borderId="62" xfId="222" applyNumberFormat="1" applyFont="1" applyFill="1" applyBorder="1" applyAlignment="1" applyProtection="1">
      <alignment horizontal="right" vertical="center" wrapText="1"/>
    </xf>
    <xf numFmtId="227" fontId="138" fillId="23" borderId="62" xfId="222" applyNumberFormat="1" applyFont="1" applyFill="1" applyBorder="1" applyAlignment="1" applyProtection="1">
      <alignment horizontal="right" vertical="center" wrapText="1"/>
    </xf>
    <xf numFmtId="4" fontId="138" fillId="34" borderId="62" xfId="181" applyNumberFormat="1" applyFont="1" applyFill="1" applyBorder="1" applyAlignment="1" applyProtection="1">
      <alignment horizontal="right" vertical="center" wrapText="1"/>
    </xf>
    <xf numFmtId="3" fontId="132" fillId="0" borderId="62" xfId="361" applyNumberFormat="1" applyFont="1" applyFill="1" applyBorder="1" applyAlignment="1">
      <alignment horizontal="right" vertical="center" wrapText="1"/>
    </xf>
    <xf numFmtId="3" fontId="132" fillId="23" borderId="62" xfId="371" applyNumberFormat="1" applyFont="1" applyFill="1" applyBorder="1" applyAlignment="1">
      <alignment horizontal="right" vertical="center" wrapText="1"/>
    </xf>
    <xf numFmtId="0" fontId="30" fillId="0" borderId="62" xfId="371" applyFont="1" applyFill="1" applyBorder="1" applyAlignment="1">
      <alignment horizontal="center" vertical="center" wrapText="1"/>
    </xf>
    <xf numFmtId="0" fontId="30" fillId="0" borderId="62" xfId="371" applyFont="1" applyFill="1" applyBorder="1" applyAlignment="1">
      <alignment horizontal="justify" vertical="center" wrapText="1"/>
    </xf>
    <xf numFmtId="3" fontId="30" fillId="0" borderId="62" xfId="371" applyNumberFormat="1" applyFont="1" applyFill="1" applyBorder="1" applyAlignment="1">
      <alignment horizontal="right" vertical="center" wrapText="1"/>
    </xf>
    <xf numFmtId="3" fontId="30" fillId="23" borderId="62" xfId="371" applyNumberFormat="1" applyFont="1" applyFill="1" applyBorder="1" applyAlignment="1">
      <alignment horizontal="right" vertical="center" wrapText="1"/>
    </xf>
    <xf numFmtId="0" fontId="30" fillId="0" borderId="62" xfId="370" applyFont="1" applyFill="1" applyBorder="1" applyAlignment="1">
      <alignment horizontal="justify" vertical="center" wrapText="1"/>
    </xf>
    <xf numFmtId="0" fontId="30" fillId="0" borderId="62" xfId="370" applyFont="1" applyBorder="1" applyAlignment="1">
      <alignment horizontal="justify" vertical="center" wrapText="1"/>
    </xf>
    <xf numFmtId="229" fontId="30" fillId="23" borderId="62" xfId="181" applyNumberFormat="1" applyFont="1" applyFill="1" applyBorder="1" applyAlignment="1" applyProtection="1">
      <alignment horizontal="right" vertical="center" wrapText="1"/>
    </xf>
    <xf numFmtId="229" fontId="30" fillId="0" borderId="62" xfId="181" applyNumberFormat="1" applyFont="1" applyFill="1" applyBorder="1" applyAlignment="1" applyProtection="1">
      <alignment horizontal="right" vertical="center" wrapText="1"/>
    </xf>
    <xf numFmtId="3" fontId="30" fillId="0" borderId="62" xfId="222" applyNumberFormat="1" applyFont="1" applyFill="1" applyBorder="1" applyAlignment="1" applyProtection="1">
      <alignment horizontal="right" vertical="center" wrapText="1"/>
    </xf>
    <xf numFmtId="233" fontId="132" fillId="0" borderId="62" xfId="222" applyNumberFormat="1" applyFont="1" applyFill="1" applyBorder="1" applyAlignment="1" applyProtection="1">
      <alignment horizontal="right" vertical="center" wrapText="1"/>
    </xf>
    <xf numFmtId="0" fontId="138" fillId="0" borderId="62" xfId="371" applyFont="1" applyFill="1" applyBorder="1" applyAlignment="1">
      <alignment horizontal="justify" vertical="center" wrapText="1"/>
    </xf>
    <xf numFmtId="227" fontId="138" fillId="0" borderId="62" xfId="222" applyNumberFormat="1" applyFont="1" applyFill="1" applyBorder="1" applyAlignment="1" applyProtection="1">
      <alignment horizontal="right" vertical="center" wrapText="1"/>
    </xf>
    <xf numFmtId="3" fontId="138" fillId="0" borderId="62" xfId="222" applyNumberFormat="1" applyFont="1" applyFill="1" applyBorder="1" applyAlignment="1" applyProtection="1">
      <alignment horizontal="right" vertical="center" wrapText="1"/>
    </xf>
    <xf numFmtId="3" fontId="132" fillId="0" borderId="62" xfId="371" applyNumberFormat="1" applyFont="1" applyFill="1" applyBorder="1" applyAlignment="1">
      <alignment horizontal="right" vertical="center" wrapText="1"/>
    </xf>
    <xf numFmtId="0" fontId="198" fillId="0" borderId="62" xfId="371" applyFont="1" applyBorder="1" applyAlignment="1">
      <alignment horizontal="center" vertical="center" wrapText="1"/>
    </xf>
    <xf numFmtId="3" fontId="198" fillId="0" borderId="62" xfId="371" applyNumberFormat="1" applyFont="1" applyFill="1" applyBorder="1" applyAlignment="1">
      <alignment horizontal="center" vertical="center" wrapText="1"/>
    </xf>
    <xf numFmtId="3" fontId="196" fillId="0" borderId="62" xfId="371" applyNumberFormat="1" applyFont="1" applyFill="1" applyBorder="1" applyAlignment="1">
      <alignment horizontal="center" vertical="center" wrapText="1"/>
    </xf>
    <xf numFmtId="0" fontId="195" fillId="0" borderId="62" xfId="371" applyFont="1" applyBorder="1"/>
    <xf numFmtId="49" fontId="195" fillId="0" borderId="62" xfId="371" applyNumberFormat="1" applyFont="1" applyFill="1" applyBorder="1" applyAlignment="1">
      <alignment horizontal="right" vertical="center" wrapText="1"/>
    </xf>
    <xf numFmtId="3" fontId="191" fillId="0" borderId="62" xfId="371" applyNumberFormat="1" applyFont="1" applyFill="1" applyBorder="1" applyAlignment="1">
      <alignment horizontal="right" vertical="center" wrapText="1"/>
    </xf>
    <xf numFmtId="4" fontId="191" fillId="23" borderId="62" xfId="181" applyNumberFormat="1" applyFont="1" applyFill="1" applyBorder="1" applyAlignment="1" applyProtection="1">
      <alignment horizontal="right" vertical="center" wrapText="1"/>
    </xf>
    <xf numFmtId="0" fontId="191" fillId="23" borderId="62" xfId="371" applyFont="1" applyFill="1" applyBorder="1" applyAlignment="1">
      <alignment horizontal="center" vertical="center" wrapText="1"/>
    </xf>
    <xf numFmtId="0" fontId="191" fillId="23" borderId="62" xfId="371" applyFont="1" applyFill="1" applyBorder="1" applyAlignment="1">
      <alignment horizontal="justify" vertical="center" wrapText="1"/>
    </xf>
    <xf numFmtId="228" fontId="191" fillId="23" borderId="62" xfId="220" applyNumberFormat="1" applyFont="1" applyFill="1" applyBorder="1" applyAlignment="1" applyProtection="1">
      <alignment horizontal="right" vertical="center" wrapText="1"/>
    </xf>
    <xf numFmtId="227" fontId="191" fillId="23" borderId="62" xfId="222" applyNumberFormat="1" applyFont="1" applyFill="1" applyBorder="1" applyAlignment="1" applyProtection="1">
      <alignment horizontal="right" vertical="center" wrapText="1"/>
    </xf>
    <xf numFmtId="233" fontId="191" fillId="23" borderId="62" xfId="222" applyNumberFormat="1" applyFont="1" applyFill="1" applyBorder="1" applyAlignment="1" applyProtection="1">
      <alignment horizontal="right" vertical="center" wrapText="1"/>
    </xf>
    <xf numFmtId="0" fontId="195" fillId="23" borderId="62" xfId="371" applyFont="1" applyFill="1" applyBorder="1" applyAlignment="1">
      <alignment horizontal="center" vertical="center" wrapText="1"/>
    </xf>
    <xf numFmtId="0" fontId="195" fillId="23" borderId="62" xfId="371" applyFont="1" applyFill="1" applyBorder="1" applyAlignment="1">
      <alignment horizontal="justify" vertical="center" wrapText="1"/>
    </xf>
    <xf numFmtId="3" fontId="191" fillId="0" borderId="62" xfId="222" applyNumberFormat="1" applyFont="1" applyFill="1" applyBorder="1" applyAlignment="1" applyProtection="1">
      <alignment horizontal="right" vertical="center" wrapText="1"/>
    </xf>
    <xf numFmtId="3" fontId="191" fillId="23" borderId="62" xfId="222" applyNumberFormat="1" applyFont="1" applyFill="1" applyBorder="1" applyAlignment="1" applyProtection="1">
      <alignment horizontal="right" vertical="center" wrapText="1"/>
    </xf>
    <xf numFmtId="3" fontId="196" fillId="23" borderId="62" xfId="222" applyNumberFormat="1" applyFont="1" applyFill="1" applyBorder="1" applyAlignment="1" applyProtection="1">
      <alignment horizontal="right" vertical="center" wrapText="1"/>
    </xf>
    <xf numFmtId="3" fontId="195" fillId="23" borderId="62" xfId="222" applyNumberFormat="1" applyFont="1" applyFill="1" applyBorder="1" applyAlignment="1" applyProtection="1">
      <alignment horizontal="right" vertical="center" wrapText="1"/>
    </xf>
    <xf numFmtId="3" fontId="195" fillId="0" borderId="62" xfId="361" applyNumberFormat="1" applyFont="1" applyFill="1" applyBorder="1" applyAlignment="1">
      <alignment horizontal="right" vertical="center" wrapText="1"/>
    </xf>
    <xf numFmtId="3" fontId="191" fillId="23" borderId="62" xfId="181" applyNumberFormat="1" applyFont="1" applyFill="1" applyBorder="1" applyAlignment="1" applyProtection="1">
      <alignment horizontal="right" vertical="center" wrapText="1"/>
    </xf>
    <xf numFmtId="3" fontId="195" fillId="23" borderId="62" xfId="181" applyNumberFormat="1" applyFont="1" applyFill="1" applyBorder="1" applyAlignment="1" applyProtection="1">
      <alignment horizontal="right" vertical="center" wrapText="1"/>
    </xf>
    <xf numFmtId="227" fontId="195" fillId="23" borderId="62" xfId="222" applyNumberFormat="1" applyFont="1" applyFill="1" applyBorder="1" applyAlignment="1" applyProtection="1">
      <alignment horizontal="right" vertical="center" wrapText="1"/>
    </xf>
    <xf numFmtId="227" fontId="196" fillId="23" borderId="62" xfId="222" applyNumberFormat="1" applyFont="1" applyFill="1" applyBorder="1" applyAlignment="1" applyProtection="1">
      <alignment horizontal="right" vertical="center" wrapText="1"/>
    </xf>
    <xf numFmtId="4" fontId="196" fillId="34" borderId="62" xfId="181" applyNumberFormat="1" applyFont="1" applyFill="1" applyBorder="1" applyAlignment="1" applyProtection="1">
      <alignment horizontal="right" vertical="center" wrapText="1"/>
    </xf>
    <xf numFmtId="4" fontId="191" fillId="36" borderId="62" xfId="181" applyNumberFormat="1" applyFont="1" applyFill="1" applyBorder="1" applyAlignment="1" applyProtection="1">
      <alignment horizontal="right" vertical="center" wrapText="1"/>
    </xf>
    <xf numFmtId="3" fontId="191" fillId="0" borderId="62" xfId="361" applyNumberFormat="1" applyFont="1" applyFill="1" applyBorder="1" applyAlignment="1">
      <alignment horizontal="right" vertical="center" wrapText="1"/>
    </xf>
    <xf numFmtId="3" fontId="191" fillId="23" borderId="62" xfId="371" applyNumberFormat="1" applyFont="1" applyFill="1" applyBorder="1" applyAlignment="1">
      <alignment horizontal="right" vertical="center" wrapText="1"/>
    </xf>
    <xf numFmtId="3" fontId="195" fillId="0" borderId="62" xfId="371" applyNumberFormat="1" applyFont="1" applyFill="1" applyBorder="1" applyAlignment="1">
      <alignment horizontal="right" vertical="center" wrapText="1"/>
    </xf>
    <xf numFmtId="3" fontId="195" fillId="23" borderId="62" xfId="371" applyNumberFormat="1" applyFont="1" applyFill="1" applyBorder="1" applyAlignment="1">
      <alignment horizontal="right" vertical="center" wrapText="1"/>
    </xf>
    <xf numFmtId="0" fontId="195" fillId="0" borderId="62" xfId="370" applyFont="1" applyFill="1" applyBorder="1" applyAlignment="1">
      <alignment horizontal="justify" vertical="center" wrapText="1"/>
    </xf>
    <xf numFmtId="0" fontId="195" fillId="0" borderId="62" xfId="370" applyFont="1" applyBorder="1" applyAlignment="1">
      <alignment horizontal="justify" vertical="center" wrapText="1"/>
    </xf>
    <xf numFmtId="229" fontId="195" fillId="23" borderId="62" xfId="181" applyNumberFormat="1" applyFont="1" applyFill="1" applyBorder="1" applyAlignment="1" applyProtection="1">
      <alignment horizontal="right" vertical="center" wrapText="1"/>
    </xf>
    <xf numFmtId="233" fontId="191" fillId="0" borderId="62" xfId="222" applyNumberFormat="1" applyFont="1" applyFill="1" applyBorder="1" applyAlignment="1" applyProtection="1">
      <alignment horizontal="right" vertical="center" wrapText="1"/>
    </xf>
    <xf numFmtId="0" fontId="196" fillId="0" borderId="62" xfId="371" applyFont="1" applyFill="1" applyBorder="1" applyAlignment="1">
      <alignment horizontal="justify" vertical="center" wrapText="1"/>
    </xf>
    <xf numFmtId="0" fontId="132" fillId="0" borderId="62" xfId="371" applyFont="1" applyFill="1" applyBorder="1" applyAlignment="1">
      <alignment horizontal="center" vertical="center" wrapText="1"/>
    </xf>
    <xf numFmtId="0" fontId="140" fillId="0" borderId="62" xfId="371" applyFont="1" applyFill="1" applyBorder="1" applyAlignment="1">
      <alignment horizontal="center" vertical="center" wrapText="1"/>
    </xf>
    <xf numFmtId="0" fontId="132" fillId="0" borderId="62" xfId="371" applyFont="1" applyBorder="1" applyAlignment="1">
      <alignment horizontal="center" vertical="center" wrapText="1"/>
    </xf>
    <xf numFmtId="3" fontId="132" fillId="23" borderId="62" xfId="220" applyNumberFormat="1" applyFont="1" applyFill="1" applyBorder="1" applyAlignment="1" applyProtection="1">
      <alignment horizontal="right" vertical="center" wrapText="1"/>
    </xf>
    <xf numFmtId="0" fontId="162" fillId="0" borderId="0" xfId="371" applyFont="1" applyAlignment="1">
      <alignment horizontal="right" vertical="center"/>
    </xf>
    <xf numFmtId="3" fontId="168" fillId="0" borderId="0" xfId="371" applyNumberFormat="1" applyFont="1"/>
    <xf numFmtId="0" fontId="168" fillId="0" borderId="0" xfId="371" applyFont="1" applyFill="1"/>
    <xf numFmtId="0" fontId="174" fillId="0" borderId="0" xfId="371" applyFont="1" applyAlignment="1">
      <alignment horizontal="right"/>
    </xf>
    <xf numFmtId="0" fontId="168" fillId="0" borderId="0" xfId="371" applyFont="1" applyAlignment="1">
      <alignment horizontal="right" vertical="center"/>
    </xf>
    <xf numFmtId="0" fontId="144" fillId="0" borderId="0" xfId="371" applyFont="1" applyFill="1" applyBorder="1" applyAlignment="1">
      <alignment horizontal="center" vertical="center" wrapText="1"/>
    </xf>
    <xf numFmtId="49" fontId="189" fillId="0" borderId="56" xfId="371" applyNumberFormat="1" applyFont="1" applyFill="1" applyBorder="1" applyAlignment="1">
      <alignment horizontal="center"/>
    </xf>
    <xf numFmtId="233" fontId="143" fillId="23" borderId="53" xfId="222" applyNumberFormat="1" applyFont="1" applyFill="1" applyBorder="1" applyAlignment="1" applyProtection="1">
      <alignment horizontal="right"/>
    </xf>
    <xf numFmtId="3" fontId="132" fillId="0" borderId="62" xfId="371" applyNumberFormat="1" applyFont="1" applyFill="1" applyBorder="1" applyAlignment="1">
      <alignment horizontal="center" vertical="center" wrapText="1"/>
    </xf>
    <xf numFmtId="49" fontId="132" fillId="0" borderId="62" xfId="371" applyNumberFormat="1" applyFont="1" applyFill="1" applyBorder="1" applyAlignment="1">
      <alignment horizontal="right" vertical="center" wrapText="1"/>
    </xf>
    <xf numFmtId="0" fontId="181" fillId="0" borderId="0" xfId="0" applyFont="1" applyFill="1" applyAlignment="1">
      <alignment horizontal="left" vertical="center"/>
    </xf>
    <xf numFmtId="0" fontId="181" fillId="0" borderId="0" xfId="0" applyFont="1" applyFill="1" applyAlignment="1">
      <alignment vertical="center"/>
    </xf>
    <xf numFmtId="0" fontId="181" fillId="0" borderId="0" xfId="0" applyFont="1" applyFill="1" applyAlignment="1">
      <alignment horizontal="center" vertical="center"/>
    </xf>
    <xf numFmtId="0" fontId="144" fillId="0" borderId="0" xfId="363" applyFont="1" applyFill="1" applyBorder="1" applyAlignment="1">
      <alignment horizontal="center"/>
    </xf>
    <xf numFmtId="0" fontId="168" fillId="0" borderId="0" xfId="367" applyFont="1"/>
    <xf numFmtId="0" fontId="163" fillId="0" borderId="0" xfId="367" applyFont="1" applyFill="1"/>
    <xf numFmtId="49" fontId="189" fillId="0" borderId="62" xfId="367" applyNumberFormat="1" applyFont="1" applyBorder="1" applyAlignment="1">
      <alignment horizontal="center" vertical="center" wrapText="1"/>
    </xf>
    <xf numFmtId="49" fontId="198" fillId="0" borderId="62" xfId="367" applyNumberFormat="1" applyFont="1" applyFill="1" applyBorder="1" applyAlignment="1">
      <alignment horizontal="center" vertical="center" wrapText="1"/>
    </xf>
    <xf numFmtId="49" fontId="198" fillId="34" borderId="62" xfId="367" applyNumberFormat="1" applyFont="1" applyFill="1" applyBorder="1" applyAlignment="1">
      <alignment horizontal="center" vertical="center" wrapText="1"/>
    </xf>
    <xf numFmtId="0" fontId="132" fillId="0" borderId="62" xfId="367" applyFont="1" applyBorder="1" applyAlignment="1">
      <alignment horizontal="center" vertical="center" wrapText="1"/>
    </xf>
    <xf numFmtId="3" fontId="132" fillId="0" borderId="62" xfId="367" applyNumberFormat="1" applyFont="1" applyFill="1" applyBorder="1" applyAlignment="1">
      <alignment horizontal="right" vertical="center" wrapText="1"/>
    </xf>
    <xf numFmtId="3" fontId="132" fillId="0" borderId="62" xfId="367" applyNumberFormat="1" applyFont="1" applyBorder="1" applyAlignment="1">
      <alignment horizontal="right" vertical="center" wrapText="1"/>
    </xf>
    <xf numFmtId="3" fontId="132" fillId="34" borderId="62" xfId="367" applyNumberFormat="1" applyFont="1" applyFill="1" applyBorder="1" applyAlignment="1">
      <alignment horizontal="right" vertical="center" wrapText="1"/>
    </xf>
    <xf numFmtId="4" fontId="140" fillId="0" borderId="62" xfId="367" applyNumberFormat="1" applyFont="1" applyBorder="1" applyAlignment="1">
      <alignment horizontal="right" vertical="center" wrapText="1"/>
    </xf>
    <xf numFmtId="4" fontId="132" fillId="0" borderId="62" xfId="196" applyNumberFormat="1" applyFont="1" applyFill="1" applyBorder="1" applyAlignment="1" applyProtection="1">
      <alignment horizontal="right" vertical="center" wrapText="1"/>
    </xf>
    <xf numFmtId="0" fontId="30" fillId="0" borderId="62" xfId="367" applyFont="1" applyBorder="1" applyAlignment="1">
      <alignment horizontal="center" vertical="center" wrapText="1"/>
    </xf>
    <xf numFmtId="229" fontId="30" fillId="0" borderId="62" xfId="196" applyNumberFormat="1" applyFont="1" applyFill="1" applyBorder="1" applyAlignment="1" applyProtection="1">
      <alignment horizontal="right" vertical="center" wrapText="1"/>
    </xf>
    <xf numFmtId="3" fontId="30" fillId="0" borderId="62" xfId="196" applyNumberFormat="1" applyFont="1" applyFill="1" applyBorder="1" applyAlignment="1" applyProtection="1">
      <alignment horizontal="right" vertical="center" wrapText="1"/>
    </xf>
    <xf numFmtId="3" fontId="16" fillId="34" borderId="62" xfId="219" applyNumberFormat="1" applyFont="1" applyFill="1" applyBorder="1" applyAlignment="1" applyProtection="1">
      <alignment horizontal="right" vertical="center" wrapText="1"/>
    </xf>
    <xf numFmtId="3" fontId="30" fillId="34" borderId="62" xfId="196" applyNumberFormat="1" applyFont="1" applyFill="1" applyBorder="1" applyAlignment="1" applyProtection="1">
      <alignment horizontal="right" vertical="center" wrapText="1"/>
    </xf>
    <xf numFmtId="3" fontId="138" fillId="0" borderId="62" xfId="196" applyNumberFormat="1" applyFont="1" applyFill="1" applyBorder="1" applyAlignment="1" applyProtection="1">
      <alignment horizontal="right" vertical="center" wrapText="1"/>
    </xf>
    <xf numFmtId="3" fontId="16" fillId="34" borderId="62" xfId="366" applyNumberFormat="1" applyFont="1" applyFill="1" applyBorder="1" applyAlignment="1">
      <alignment horizontal="right" vertical="center" wrapText="1"/>
    </xf>
    <xf numFmtId="3" fontId="30" fillId="0" borderId="62" xfId="367" applyNumberFormat="1" applyFont="1" applyBorder="1" applyAlignment="1">
      <alignment horizontal="right" vertical="center" wrapText="1"/>
    </xf>
    <xf numFmtId="4" fontId="30" fillId="0" borderId="62" xfId="196" applyNumberFormat="1" applyFont="1" applyFill="1" applyBorder="1" applyAlignment="1" applyProtection="1">
      <alignment horizontal="right" vertical="center" wrapText="1"/>
    </xf>
    <xf numFmtId="3" fontId="138" fillId="34" borderId="62" xfId="196" applyNumberFormat="1" applyFont="1" applyFill="1" applyBorder="1" applyAlignment="1" applyProtection="1">
      <alignment horizontal="right" vertical="center" wrapText="1"/>
    </xf>
    <xf numFmtId="0" fontId="30" fillId="0" borderId="62" xfId="367" applyFont="1" applyBorder="1" applyAlignment="1">
      <alignment horizontal="left" vertical="center"/>
    </xf>
    <xf numFmtId="0" fontId="200" fillId="0" borderId="62" xfId="0" applyFont="1" applyBorder="1" applyAlignment="1">
      <alignment vertical="center" wrapText="1"/>
    </xf>
    <xf numFmtId="3" fontId="200" fillId="0" borderId="62" xfId="0" applyNumberFormat="1" applyFont="1" applyBorder="1" applyAlignment="1">
      <alignment horizontal="right" vertical="center" wrapText="1"/>
    </xf>
    <xf numFmtId="0" fontId="200" fillId="0" borderId="62" xfId="0" applyFont="1" applyBorder="1" applyAlignment="1">
      <alignment horizontal="center" vertical="center" wrapText="1"/>
    </xf>
    <xf numFmtId="0" fontId="184" fillId="0" borderId="0" xfId="0" applyFont="1" applyAlignment="1">
      <alignment horizontal="center" vertical="center" wrapText="1"/>
    </xf>
    <xf numFmtId="0" fontId="200" fillId="0" borderId="62" xfId="0" applyFont="1" applyBorder="1" applyAlignment="1">
      <alignment horizontal="justify" vertical="center" wrapText="1"/>
    </xf>
    <xf numFmtId="49" fontId="168" fillId="0" borderId="0" xfId="0" applyNumberFormat="1" applyFont="1" applyAlignment="1">
      <alignment horizontal="center"/>
    </xf>
    <xf numFmtId="0" fontId="168" fillId="0" borderId="0" xfId="0" applyFont="1" applyAlignment="1">
      <alignment horizontal="right"/>
    </xf>
    <xf numFmtId="0" fontId="168" fillId="0" borderId="0" xfId="0" applyFont="1"/>
    <xf numFmtId="49" fontId="188" fillId="0" borderId="0" xfId="0" applyNumberFormat="1" applyFont="1" applyAlignment="1">
      <alignment horizontal="left"/>
    </xf>
    <xf numFmtId="49" fontId="200" fillId="0" borderId="62" xfId="0" applyNumberFormat="1" applyFont="1" applyBorder="1" applyAlignment="1">
      <alignment horizontal="center" vertical="center" wrapText="1"/>
    </xf>
    <xf numFmtId="49" fontId="201" fillId="0" borderId="62" xfId="0" applyNumberFormat="1" applyFont="1" applyBorder="1" applyAlignment="1">
      <alignment horizontal="center" vertical="center" wrapText="1"/>
    </xf>
    <xf numFmtId="0" fontId="201" fillId="0" borderId="62" xfId="0" applyFont="1" applyBorder="1" applyAlignment="1">
      <alignment horizontal="center" vertical="center" wrapText="1"/>
    </xf>
    <xf numFmtId="241" fontId="201" fillId="0" borderId="62" xfId="0" applyNumberFormat="1" applyFont="1" applyBorder="1" applyAlignment="1">
      <alignment horizontal="right" vertical="center" wrapText="1"/>
    </xf>
    <xf numFmtId="241" fontId="201" fillId="0" borderId="62" xfId="0" applyNumberFormat="1" applyFont="1" applyBorder="1" applyAlignment="1">
      <alignment horizontal="center" vertical="center" wrapText="1"/>
    </xf>
    <xf numFmtId="49" fontId="201" fillId="0" borderId="62" xfId="0" applyNumberFormat="1" applyFont="1" applyBorder="1" applyAlignment="1">
      <alignment vertical="center" wrapText="1"/>
    </xf>
    <xf numFmtId="49" fontId="200" fillId="0" borderId="62" xfId="0" applyNumberFormat="1" applyFont="1" applyBorder="1" applyAlignment="1">
      <alignment vertical="center" wrapText="1"/>
    </xf>
    <xf numFmtId="241" fontId="200" fillId="0" borderId="62" xfId="0" applyNumberFormat="1" applyFont="1" applyBorder="1" applyAlignment="1">
      <alignment horizontal="right" vertical="center" wrapText="1"/>
    </xf>
    <xf numFmtId="241" fontId="200" fillId="0" borderId="62" xfId="0" applyNumberFormat="1" applyFont="1" applyBorder="1" applyAlignment="1">
      <alignment horizontal="center" vertical="center" wrapText="1"/>
    </xf>
    <xf numFmtId="49" fontId="202" fillId="0" borderId="62" xfId="0" applyNumberFormat="1" applyFont="1" applyBorder="1" applyAlignment="1">
      <alignment horizontal="center" vertical="center" wrapText="1"/>
    </xf>
    <xf numFmtId="49" fontId="202" fillId="0" borderId="62" xfId="0" applyNumberFormat="1" applyFont="1" applyBorder="1" applyAlignment="1">
      <alignment vertical="center" wrapText="1"/>
    </xf>
    <xf numFmtId="241" fontId="202" fillId="0" borderId="62" xfId="0" applyNumberFormat="1" applyFont="1" applyBorder="1" applyAlignment="1">
      <alignment horizontal="right" vertical="center" wrapText="1"/>
    </xf>
    <xf numFmtId="241" fontId="202" fillId="0" borderId="62" xfId="0" applyNumberFormat="1" applyFont="1" applyBorder="1" applyAlignment="1">
      <alignment horizontal="center" vertical="center" wrapText="1"/>
    </xf>
    <xf numFmtId="49" fontId="201" fillId="0" borderId="62" xfId="0" applyNumberFormat="1" applyFont="1" applyBorder="1" applyAlignment="1">
      <alignment horizontal="justify" vertical="center" wrapText="1"/>
    </xf>
    <xf numFmtId="3" fontId="201" fillId="0" borderId="62" xfId="0" applyNumberFormat="1" applyFont="1" applyBorder="1" applyAlignment="1">
      <alignment horizontal="right" vertical="center" wrapText="1"/>
    </xf>
    <xf numFmtId="49" fontId="202" fillId="0" borderId="62" xfId="0" applyNumberFormat="1" applyFont="1" applyBorder="1" applyAlignment="1">
      <alignment horizontal="justify" vertical="center" wrapText="1"/>
    </xf>
    <xf numFmtId="3" fontId="202" fillId="0" borderId="62" xfId="0" applyNumberFormat="1" applyFont="1" applyBorder="1" applyAlignment="1">
      <alignment horizontal="right" vertical="center" wrapText="1"/>
    </xf>
    <xf numFmtId="49" fontId="200" fillId="0" borderId="62" xfId="0" applyNumberFormat="1" applyFont="1" applyBorder="1" applyAlignment="1">
      <alignment horizontal="justify" vertical="center" wrapText="1"/>
    </xf>
    <xf numFmtId="49" fontId="203" fillId="0" borderId="62" xfId="0" applyNumberFormat="1" applyFont="1" applyBorder="1" applyAlignment="1">
      <alignment horizontal="center" vertical="center" wrapText="1"/>
    </xf>
    <xf numFmtId="49" fontId="203" fillId="0" borderId="62" xfId="0" applyNumberFormat="1" applyFont="1" applyBorder="1" applyAlignment="1">
      <alignment horizontal="justify" vertical="center" wrapText="1"/>
    </xf>
    <xf numFmtId="49" fontId="203" fillId="0" borderId="62" xfId="0" applyNumberFormat="1" applyFont="1" applyBorder="1" applyAlignment="1">
      <alignment vertical="center" wrapText="1"/>
    </xf>
    <xf numFmtId="3" fontId="203" fillId="0" borderId="62" xfId="0" applyNumberFormat="1" applyFont="1" applyBorder="1" applyAlignment="1">
      <alignment horizontal="right" vertical="center" wrapText="1"/>
    </xf>
    <xf numFmtId="49" fontId="201" fillId="0" borderId="62" xfId="364" applyNumberFormat="1" applyFont="1" applyBorder="1" applyAlignment="1">
      <alignment horizontal="center" vertical="center" wrapText="1"/>
    </xf>
    <xf numFmtId="49" fontId="201" fillId="0" borderId="62" xfId="364" applyNumberFormat="1" applyFont="1" applyBorder="1" applyAlignment="1">
      <alignment horizontal="justify" vertical="center" wrapText="1"/>
    </xf>
    <xf numFmtId="1" fontId="201" fillId="0" borderId="62" xfId="364" applyNumberFormat="1" applyFont="1" applyBorder="1" applyAlignment="1">
      <alignment horizontal="right" vertical="center" wrapText="1"/>
    </xf>
    <xf numFmtId="49" fontId="202" fillId="0" borderId="62" xfId="364" applyNumberFormat="1" applyFont="1" applyBorder="1" applyAlignment="1">
      <alignment horizontal="center" vertical="center" wrapText="1"/>
    </xf>
    <xf numFmtId="49" fontId="202" fillId="0" borderId="62" xfId="364" applyNumberFormat="1" applyFont="1" applyBorder="1" applyAlignment="1">
      <alignment horizontal="justify" vertical="center" wrapText="1"/>
    </xf>
    <xf numFmtId="1" fontId="202" fillId="0" borderId="62" xfId="364" applyNumberFormat="1" applyFont="1" applyBorder="1" applyAlignment="1">
      <alignment horizontal="right" vertical="center" wrapText="1"/>
    </xf>
    <xf numFmtId="0" fontId="200" fillId="0" borderId="62" xfId="364" applyFont="1" applyBorder="1" applyAlignment="1">
      <alignment horizontal="center" vertical="center" wrapText="1"/>
    </xf>
    <xf numFmtId="0" fontId="200" fillId="0" borderId="62" xfId="364" applyFont="1" applyBorder="1" applyAlignment="1">
      <alignment horizontal="justify" vertical="center" wrapText="1"/>
    </xf>
    <xf numFmtId="0" fontId="200" fillId="0" borderId="62" xfId="364" applyFont="1" applyBorder="1" applyAlignment="1">
      <alignment vertical="center" wrapText="1"/>
    </xf>
    <xf numFmtId="0" fontId="202" fillId="0" borderId="62" xfId="364" applyFont="1" applyBorder="1" applyAlignment="1">
      <alignment horizontal="center" vertical="center" wrapText="1"/>
    </xf>
    <xf numFmtId="0" fontId="202" fillId="0" borderId="62" xfId="364" applyFont="1" applyBorder="1" applyAlignment="1">
      <alignment horizontal="justify" vertical="center" wrapText="1"/>
    </xf>
    <xf numFmtId="0" fontId="202" fillId="0" borderId="62" xfId="364" applyFont="1" applyBorder="1" applyAlignment="1">
      <alignment vertical="center" wrapText="1"/>
    </xf>
    <xf numFmtId="0" fontId="202" fillId="37" borderId="62" xfId="364" applyFont="1" applyFill="1" applyBorder="1" applyAlignment="1">
      <alignment horizontal="center" vertical="center" wrapText="1"/>
    </xf>
    <xf numFmtId="0" fontId="202" fillId="37" borderId="62" xfId="364" applyFont="1" applyFill="1" applyBorder="1" applyAlignment="1">
      <alignment horizontal="justify" vertical="center" wrapText="1"/>
    </xf>
    <xf numFmtId="0" fontId="202" fillId="37" borderId="62" xfId="364" applyFont="1" applyFill="1" applyBorder="1" applyAlignment="1">
      <alignment vertical="center" wrapText="1"/>
    </xf>
    <xf numFmtId="1" fontId="201" fillId="0" borderId="62" xfId="364" applyNumberFormat="1" applyFont="1" applyBorder="1" applyAlignment="1">
      <alignment vertical="center" wrapText="1"/>
    </xf>
    <xf numFmtId="1" fontId="202" fillId="0" borderId="62" xfId="364" applyNumberFormat="1" applyFont="1" applyBorder="1" applyAlignment="1">
      <alignment vertical="center" wrapText="1"/>
    </xf>
    <xf numFmtId="49" fontId="200" fillId="0" borderId="62" xfId="364" applyNumberFormat="1" applyFont="1" applyBorder="1" applyAlignment="1">
      <alignment horizontal="justify" vertical="center" wrapText="1"/>
    </xf>
    <xf numFmtId="49" fontId="200" fillId="0" borderId="62" xfId="364" applyNumberFormat="1" applyFont="1" applyBorder="1" applyAlignment="1">
      <alignment horizontal="center" vertical="center" wrapText="1"/>
    </xf>
    <xf numFmtId="0" fontId="202" fillId="0" borderId="62" xfId="0" applyFont="1" applyBorder="1" applyAlignment="1">
      <alignment vertical="center" wrapText="1"/>
    </xf>
    <xf numFmtId="0" fontId="201" fillId="0" borderId="62" xfId="364" applyFont="1" applyBorder="1" applyAlignment="1">
      <alignment horizontal="center" vertical="center" wrapText="1"/>
    </xf>
    <xf numFmtId="0" fontId="201" fillId="0" borderId="62" xfId="0" applyFont="1" applyBorder="1" applyAlignment="1">
      <alignment vertical="center" wrapText="1"/>
    </xf>
    <xf numFmtId="1" fontId="201" fillId="0" borderId="62" xfId="0" applyNumberFormat="1" applyFont="1" applyBorder="1" applyAlignment="1">
      <alignment horizontal="center" vertical="center" wrapText="1"/>
    </xf>
    <xf numFmtId="0" fontId="201" fillId="0" borderId="62" xfId="0" applyFont="1" applyBorder="1" applyAlignment="1">
      <alignment horizontal="justify" vertical="center" wrapText="1"/>
    </xf>
    <xf numFmtId="0" fontId="201" fillId="0" borderId="62" xfId="364" applyFont="1" applyBorder="1" applyAlignment="1">
      <alignment horizontal="justify" vertical="center" wrapText="1"/>
    </xf>
    <xf numFmtId="0" fontId="201" fillId="0" borderId="62" xfId="364" applyFont="1" applyBorder="1" applyAlignment="1">
      <alignment vertical="center" wrapText="1"/>
    </xf>
    <xf numFmtId="1" fontId="200" fillId="0" borderId="62" xfId="0" applyNumberFormat="1" applyFont="1" applyBorder="1" applyAlignment="1">
      <alignment horizontal="center" vertical="center" wrapText="1"/>
    </xf>
    <xf numFmtId="1" fontId="200" fillId="0" borderId="62" xfId="0" applyNumberFormat="1" applyFont="1" applyBorder="1" applyAlignment="1">
      <alignment vertical="center" wrapText="1"/>
    </xf>
    <xf numFmtId="1" fontId="200" fillId="0" borderId="62" xfId="364" applyNumberFormat="1" applyFont="1" applyBorder="1" applyAlignment="1">
      <alignment vertical="center" wrapText="1"/>
    </xf>
    <xf numFmtId="0" fontId="200" fillId="0" borderId="62" xfId="0" applyFont="1" applyFill="1" applyBorder="1" applyAlignment="1">
      <alignment horizontal="justify" vertical="center" wrapText="1"/>
    </xf>
    <xf numFmtId="0" fontId="200" fillId="0" borderId="62" xfId="0" applyFont="1" applyFill="1" applyBorder="1" applyAlignment="1">
      <alignment horizontal="center" vertical="center" wrapText="1"/>
    </xf>
    <xf numFmtId="0" fontId="200" fillId="0" borderId="62" xfId="364" applyFont="1" applyBorder="1" applyAlignment="1">
      <alignment horizontal="left" vertical="center" wrapText="1"/>
    </xf>
    <xf numFmtId="0" fontId="202" fillId="0" borderId="62" xfId="364" applyFont="1" applyBorder="1" applyAlignment="1">
      <alignment horizontal="left" vertical="center" wrapText="1"/>
    </xf>
    <xf numFmtId="0" fontId="202" fillId="0" borderId="62" xfId="0" applyFont="1" applyBorder="1" applyAlignment="1">
      <alignment horizontal="justify" vertical="center" wrapText="1"/>
    </xf>
    <xf numFmtId="0" fontId="202" fillId="0" borderId="62" xfId="0" applyFont="1" applyBorder="1" applyAlignment="1">
      <alignment horizontal="center" vertical="center" wrapText="1"/>
    </xf>
    <xf numFmtId="0" fontId="201" fillId="0" borderId="62" xfId="364" applyFont="1" applyBorder="1" applyAlignment="1">
      <alignment horizontal="left" vertical="center" wrapText="1"/>
    </xf>
    <xf numFmtId="0" fontId="201" fillId="0" borderId="62" xfId="0" applyFont="1" applyBorder="1" applyAlignment="1">
      <alignment horizontal="justify" vertical="center"/>
    </xf>
    <xf numFmtId="0" fontId="203" fillId="0" borderId="62" xfId="0" applyFont="1" applyBorder="1" applyAlignment="1">
      <alignment horizontal="center" vertical="center" wrapText="1"/>
    </xf>
    <xf numFmtId="0" fontId="203" fillId="0" borderId="62" xfId="364" applyFont="1" applyBorder="1" applyAlignment="1">
      <alignment horizontal="justify" vertical="center" wrapText="1"/>
    </xf>
    <xf numFmtId="1" fontId="202" fillId="0" borderId="62" xfId="0" applyNumberFormat="1" applyFont="1" applyBorder="1" applyAlignment="1">
      <alignment vertical="center" wrapText="1"/>
    </xf>
    <xf numFmtId="0" fontId="203" fillId="0" borderId="62" xfId="364" applyFont="1" applyBorder="1" applyAlignment="1">
      <alignment horizontal="center" vertical="center" wrapText="1"/>
    </xf>
    <xf numFmtId="0" fontId="203" fillId="0" borderId="62" xfId="0" applyFont="1" applyBorder="1" applyAlignment="1">
      <alignment horizontal="justify" vertical="center" wrapText="1"/>
    </xf>
    <xf numFmtId="2" fontId="203" fillId="0" borderId="62" xfId="0" applyNumberFormat="1" applyFont="1" applyBorder="1" applyAlignment="1">
      <alignment vertical="center" wrapText="1"/>
    </xf>
    <xf numFmtId="1" fontId="202" fillId="0" borderId="62" xfId="0" applyNumberFormat="1" applyFont="1" applyBorder="1" applyAlignment="1">
      <alignment horizontal="center" vertical="center" wrapText="1"/>
    </xf>
    <xf numFmtId="1" fontId="201" fillId="0" borderId="62" xfId="0" applyNumberFormat="1" applyFont="1" applyBorder="1" applyAlignment="1">
      <alignment vertical="center" wrapText="1"/>
    </xf>
    <xf numFmtId="1" fontId="200" fillId="0" borderId="62" xfId="364" applyNumberFormat="1" applyFont="1" applyBorder="1" applyAlignment="1">
      <alignment horizontal="left" vertical="center" wrapText="1"/>
    </xf>
    <xf numFmtId="1" fontId="202" fillId="0" borderId="62" xfId="364" applyNumberFormat="1" applyFont="1" applyBorder="1" applyAlignment="1">
      <alignment horizontal="left" vertical="center" wrapText="1"/>
    </xf>
    <xf numFmtId="49" fontId="203" fillId="0" borderId="62" xfId="365" applyNumberFormat="1" applyFont="1" applyFill="1" applyBorder="1" applyAlignment="1">
      <alignment horizontal="center" vertical="center"/>
    </xf>
    <xf numFmtId="1" fontId="203" fillId="0" borderId="62" xfId="365" applyNumberFormat="1" applyFont="1" applyFill="1" applyBorder="1" applyAlignment="1">
      <alignment horizontal="justify" vertical="center" wrapText="1"/>
    </xf>
    <xf numFmtId="1" fontId="203" fillId="0" borderId="62" xfId="365" applyNumberFormat="1" applyFont="1" applyFill="1" applyBorder="1" applyAlignment="1">
      <alignment horizontal="right" vertical="center"/>
    </xf>
    <xf numFmtId="3" fontId="203" fillId="0" borderId="62" xfId="181" applyNumberFormat="1" applyFont="1" applyFill="1" applyBorder="1" applyAlignment="1">
      <alignment horizontal="right" vertical="center"/>
    </xf>
    <xf numFmtId="49" fontId="200" fillId="0" borderId="62" xfId="365" applyNumberFormat="1" applyFont="1" applyFill="1" applyBorder="1" applyAlignment="1">
      <alignment horizontal="center" vertical="center"/>
    </xf>
    <xf numFmtId="1" fontId="200" fillId="0" borderId="62" xfId="365" applyNumberFormat="1" applyFont="1" applyFill="1" applyBorder="1" applyAlignment="1">
      <alignment horizontal="justify" vertical="center" wrapText="1"/>
    </xf>
    <xf numFmtId="1" fontId="200" fillId="0" borderId="62" xfId="365" applyNumberFormat="1" applyFont="1" applyFill="1" applyBorder="1" applyAlignment="1">
      <alignment horizontal="left" vertical="center" wrapText="1"/>
    </xf>
    <xf numFmtId="3" fontId="200" fillId="0" borderId="62" xfId="181" applyNumberFormat="1" applyFont="1" applyFill="1" applyBorder="1" applyAlignment="1">
      <alignment horizontal="right" vertical="center"/>
    </xf>
    <xf numFmtId="1" fontId="203" fillId="0" borderId="62" xfId="365" applyNumberFormat="1" applyFont="1" applyFill="1" applyBorder="1" applyAlignment="1">
      <alignment horizontal="right" vertical="center" wrapText="1"/>
    </xf>
    <xf numFmtId="49" fontId="202" fillId="0" borderId="62" xfId="365" applyNumberFormat="1" applyFont="1" applyFill="1" applyBorder="1" applyAlignment="1">
      <alignment horizontal="center" vertical="center"/>
    </xf>
    <xf numFmtId="1" fontId="202" fillId="0" borderId="62" xfId="365" applyNumberFormat="1" applyFont="1" applyFill="1" applyBorder="1" applyAlignment="1">
      <alignment horizontal="justify" vertical="center" wrapText="1"/>
    </xf>
    <xf numFmtId="1" fontId="203" fillId="0" borderId="62" xfId="0" applyNumberFormat="1" applyFont="1" applyBorder="1" applyAlignment="1">
      <alignment vertical="center" wrapText="1"/>
    </xf>
    <xf numFmtId="0" fontId="201" fillId="0" borderId="62" xfId="0" applyFont="1" applyBorder="1" applyAlignment="1">
      <alignment horizontal="center" vertical="center"/>
    </xf>
    <xf numFmtId="2" fontId="201" fillId="0" borderId="62" xfId="0" applyNumberFormat="1" applyFont="1" applyBorder="1" applyAlignment="1">
      <alignment horizontal="justify" vertical="center" wrapText="1"/>
    </xf>
    <xf numFmtId="0" fontId="200" fillId="0" borderId="62" xfId="0" applyFont="1" applyBorder="1" applyAlignment="1">
      <alignment horizontal="center" vertical="center"/>
    </xf>
    <xf numFmtId="0" fontId="202" fillId="0" borderId="62" xfId="0" applyFont="1" applyBorder="1" applyAlignment="1">
      <alignment horizontal="center" vertical="center"/>
    </xf>
    <xf numFmtId="49" fontId="200" fillId="0" borderId="62" xfId="357" applyNumberFormat="1" applyFont="1" applyBorder="1" applyAlignment="1">
      <alignment horizontal="center" vertical="center" wrapText="1"/>
    </xf>
    <xf numFmtId="49" fontId="200" fillId="0" borderId="62" xfId="181" applyNumberFormat="1" applyFont="1" applyFill="1" applyBorder="1" applyAlignment="1" applyProtection="1">
      <alignment horizontal="center" vertical="center" wrapText="1"/>
    </xf>
    <xf numFmtId="0" fontId="200" fillId="0" borderId="62" xfId="532" applyFont="1" applyBorder="1" applyAlignment="1">
      <alignment horizontal="justify" vertical="center" wrapText="1"/>
    </xf>
    <xf numFmtId="1" fontId="200" fillId="0" borderId="62" xfId="0" applyNumberFormat="1" applyFont="1" applyBorder="1" applyAlignment="1">
      <alignment horizontal="center" vertical="center"/>
    </xf>
    <xf numFmtId="1" fontId="200" fillId="0" borderId="62" xfId="532" applyNumberFormat="1" applyFont="1" applyBorder="1" applyAlignment="1">
      <alignment horizontal="center" vertical="center" wrapText="1"/>
    </xf>
    <xf numFmtId="0" fontId="200" fillId="0" borderId="62" xfId="349" applyFont="1" applyBorder="1" applyAlignment="1">
      <alignment horizontal="justify" vertical="center" wrapText="1"/>
    </xf>
    <xf numFmtId="1" fontId="200" fillId="0" borderId="62" xfId="365" applyNumberFormat="1" applyFont="1" applyFill="1" applyBorder="1" applyAlignment="1">
      <alignment horizontal="center" vertical="center" wrapText="1"/>
    </xf>
    <xf numFmtId="3" fontId="200" fillId="0" borderId="62" xfId="346" applyNumberFormat="1" applyFont="1" applyBorder="1" applyAlignment="1">
      <alignment horizontal="justify" vertical="center" wrapText="1"/>
    </xf>
    <xf numFmtId="49" fontId="200" fillId="0" borderId="62" xfId="346" applyNumberFormat="1" applyFont="1" applyBorder="1" applyAlignment="1">
      <alignment horizontal="center" vertical="center" wrapText="1"/>
    </xf>
    <xf numFmtId="3" fontId="200" fillId="0" borderId="62" xfId="0" applyNumberFormat="1" applyFont="1" applyBorder="1" applyAlignment="1">
      <alignment horizontal="justify" vertical="center" wrapText="1"/>
    </xf>
    <xf numFmtId="49" fontId="200" fillId="0" borderId="62" xfId="181" applyNumberFormat="1" applyFont="1" applyBorder="1" applyAlignment="1">
      <alignment horizontal="center" vertical="center" wrapText="1"/>
    </xf>
    <xf numFmtId="49" fontId="200" fillId="0" borderId="62" xfId="0" applyNumberFormat="1" applyFont="1" applyBorder="1" applyAlignment="1">
      <alignment horizontal="justify" vertical="center"/>
    </xf>
    <xf numFmtId="0" fontId="203" fillId="0" borderId="62" xfId="0" applyFont="1" applyBorder="1" applyAlignment="1">
      <alignment horizontal="center" vertical="center"/>
    </xf>
    <xf numFmtId="0" fontId="203" fillId="0" borderId="62" xfId="0" applyFont="1" applyBorder="1" applyAlignment="1">
      <alignment horizontal="justify" vertical="center"/>
    </xf>
    <xf numFmtId="49" fontId="200" fillId="0" borderId="62" xfId="0" applyNumberFormat="1" applyFont="1" applyBorder="1" applyAlignment="1">
      <alignment horizontal="center" vertical="center"/>
    </xf>
    <xf numFmtId="0" fontId="203" fillId="0" borderId="62" xfId="0" applyFont="1" applyBorder="1" applyAlignment="1">
      <alignment vertical="center"/>
    </xf>
    <xf numFmtId="49" fontId="203" fillId="0" borderId="62" xfId="0" applyNumberFormat="1" applyFont="1" applyBorder="1" applyAlignment="1">
      <alignment horizontal="center" vertical="center"/>
    </xf>
    <xf numFmtId="0" fontId="185" fillId="0" borderId="0" xfId="0" applyFont="1" applyAlignment="1">
      <alignment horizontal="center"/>
    </xf>
    <xf numFmtId="49" fontId="200" fillId="0" borderId="62" xfId="0" applyNumberFormat="1" applyFont="1" applyBorder="1" applyAlignment="1">
      <alignment horizontal="center" vertical="center" wrapText="1"/>
    </xf>
    <xf numFmtId="0" fontId="200" fillId="0" borderId="62" xfId="364" quotePrefix="1" applyFont="1" applyBorder="1" applyAlignment="1">
      <alignment horizontal="justify" vertical="center" wrapText="1"/>
    </xf>
    <xf numFmtId="0" fontId="200" fillId="37" borderId="62" xfId="0" applyFont="1" applyFill="1" applyBorder="1" applyAlignment="1">
      <alignment horizontal="center" vertical="center"/>
    </xf>
    <xf numFmtId="0" fontId="200" fillId="37" borderId="62" xfId="349" applyFont="1" applyFill="1" applyBorder="1" applyAlignment="1">
      <alignment horizontal="justify" vertical="center" wrapText="1"/>
    </xf>
    <xf numFmtId="49" fontId="200" fillId="37" borderId="62" xfId="0" applyNumberFormat="1" applyFont="1" applyFill="1" applyBorder="1" applyAlignment="1">
      <alignment vertical="center" wrapText="1"/>
    </xf>
    <xf numFmtId="49" fontId="200" fillId="37" borderId="62" xfId="0" applyNumberFormat="1" applyFont="1" applyFill="1" applyBorder="1" applyAlignment="1">
      <alignment horizontal="center" vertical="center" wrapText="1"/>
    </xf>
    <xf numFmtId="3" fontId="200" fillId="37" borderId="62" xfId="0" applyNumberFormat="1" applyFont="1" applyFill="1" applyBorder="1" applyAlignment="1">
      <alignment horizontal="right" vertical="center" wrapText="1"/>
    </xf>
    <xf numFmtId="0" fontId="182" fillId="37" borderId="0" xfId="0" applyFont="1" applyFill="1"/>
    <xf numFmtId="49" fontId="189" fillId="0" borderId="3" xfId="0" applyNumberFormat="1" applyFont="1" applyFill="1" applyBorder="1" applyAlignment="1">
      <alignment horizontal="center" vertical="center" wrapText="1"/>
    </xf>
    <xf numFmtId="49" fontId="200" fillId="37" borderId="62" xfId="0" applyNumberFormat="1" applyFont="1" applyFill="1" applyBorder="1" applyAlignment="1">
      <alignment horizontal="justify" vertical="center" wrapText="1"/>
    </xf>
    <xf numFmtId="0" fontId="202" fillId="37" borderId="62" xfId="0" applyFont="1" applyFill="1" applyBorder="1" applyAlignment="1">
      <alignment horizontal="justify" vertical="center" wrapText="1"/>
    </xf>
    <xf numFmtId="1" fontId="202" fillId="37" borderId="62" xfId="0" applyNumberFormat="1" applyFont="1" applyFill="1" applyBorder="1" applyAlignment="1">
      <alignment vertical="center" wrapText="1"/>
    </xf>
    <xf numFmtId="49" fontId="202" fillId="37" borderId="62" xfId="0" applyNumberFormat="1" applyFont="1" applyFill="1" applyBorder="1" applyAlignment="1">
      <alignment horizontal="center" vertical="center" wrapText="1"/>
    </xf>
    <xf numFmtId="0" fontId="202" fillId="37" borderId="62" xfId="0" applyFont="1" applyFill="1" applyBorder="1" applyAlignment="1">
      <alignment horizontal="center" vertical="center" wrapText="1"/>
    </xf>
    <xf numFmtId="3" fontId="202" fillId="37" borderId="62" xfId="0" applyNumberFormat="1" applyFont="1" applyFill="1" applyBorder="1" applyAlignment="1">
      <alignment horizontal="right" vertical="center" wrapText="1"/>
    </xf>
    <xf numFmtId="0" fontId="185" fillId="37" borderId="0" xfId="0" applyFont="1" applyFill="1"/>
    <xf numFmtId="4" fontId="132" fillId="37" borderId="62" xfId="181" applyNumberFormat="1" applyFont="1" applyFill="1" applyBorder="1" applyAlignment="1" applyProtection="1">
      <alignment horizontal="right" vertical="center" wrapText="1"/>
    </xf>
    <xf numFmtId="0" fontId="142" fillId="0" borderId="0" xfId="0" applyFont="1" applyBorder="1" applyAlignment="1">
      <alignment horizontal="center"/>
    </xf>
    <xf numFmtId="0" fontId="131" fillId="0" borderId="0" xfId="0" applyFont="1" applyFill="1" applyBorder="1" applyAlignment="1">
      <alignment horizontal="center"/>
    </xf>
    <xf numFmtId="0" fontId="30" fillId="0" borderId="60" xfId="0" applyFont="1" applyBorder="1" applyAlignment="1">
      <alignment horizontal="center" vertical="center"/>
    </xf>
    <xf numFmtId="0" fontId="30" fillId="0" borderId="61" xfId="0" applyFont="1" applyBorder="1" applyAlignment="1">
      <alignment horizontal="center" vertical="center"/>
    </xf>
    <xf numFmtId="1" fontId="188" fillId="0" borderId="0" xfId="0" applyNumberFormat="1" applyFont="1" applyFill="1" applyAlignment="1">
      <alignment horizontal="center" vertical="center"/>
    </xf>
    <xf numFmtId="228" fontId="69" fillId="0" borderId="0" xfId="220" applyNumberFormat="1" applyFont="1" applyFill="1" applyBorder="1" applyAlignment="1" applyProtection="1">
      <alignment horizontal="center"/>
    </xf>
    <xf numFmtId="1" fontId="144" fillId="0" borderId="0" xfId="0" applyNumberFormat="1" applyFont="1" applyFill="1" applyBorder="1" applyAlignment="1">
      <alignment horizontal="center" vertical="center"/>
    </xf>
    <xf numFmtId="1" fontId="174" fillId="0" borderId="0" xfId="0" applyNumberFormat="1" applyFont="1" applyFill="1" applyBorder="1" applyAlignment="1">
      <alignment horizontal="center" vertical="center"/>
    </xf>
    <xf numFmtId="49" fontId="163" fillId="0" borderId="55" xfId="0" applyNumberFormat="1" applyFont="1" applyFill="1" applyBorder="1" applyAlignment="1">
      <alignment horizontal="right" vertical="center" wrapText="1"/>
    </xf>
    <xf numFmtId="49" fontId="189" fillId="0" borderId="3" xfId="0" applyNumberFormat="1" applyFont="1" applyFill="1" applyBorder="1" applyAlignment="1">
      <alignment horizontal="center" vertical="center" wrapText="1"/>
    </xf>
    <xf numFmtId="230" fontId="153" fillId="0" borderId="0" xfId="222" applyNumberFormat="1" applyFont="1" applyFill="1" applyBorder="1" applyAlignment="1" applyProtection="1">
      <alignment horizontal="center"/>
    </xf>
    <xf numFmtId="49" fontId="191" fillId="0" borderId="62" xfId="371" applyNumberFormat="1" applyFont="1" applyFill="1" applyBorder="1" applyAlignment="1">
      <alignment horizontal="center" vertical="center" wrapText="1"/>
    </xf>
    <xf numFmtId="227" fontId="69" fillId="0" borderId="0" xfId="222" applyNumberFormat="1" applyFont="1" applyFill="1" applyBorder="1" applyAlignment="1" applyProtection="1">
      <alignment horizontal="center"/>
    </xf>
    <xf numFmtId="230" fontId="69" fillId="0" borderId="0" xfId="222" applyNumberFormat="1" applyFont="1" applyFill="1" applyBorder="1" applyAlignment="1" applyProtection="1">
      <alignment horizontal="center"/>
    </xf>
    <xf numFmtId="0" fontId="161" fillId="0" borderId="0" xfId="371" applyFont="1" applyAlignment="1">
      <alignment horizontal="right" vertical="center"/>
    </xf>
    <xf numFmtId="0" fontId="144" fillId="0" borderId="0" xfId="371" applyFont="1" applyFill="1" applyBorder="1" applyAlignment="1">
      <alignment horizontal="center" vertical="center"/>
    </xf>
    <xf numFmtId="0" fontId="174" fillId="0" borderId="0" xfId="371" applyFont="1" applyFill="1" applyBorder="1" applyAlignment="1">
      <alignment horizontal="center" vertical="center"/>
    </xf>
    <xf numFmtId="0" fontId="130" fillId="0" borderId="0" xfId="371" applyFont="1" applyFill="1" applyBorder="1" applyAlignment="1">
      <alignment horizontal="right" vertical="center"/>
    </xf>
    <xf numFmtId="227" fontId="153" fillId="0" borderId="0" xfId="222" applyNumberFormat="1" applyFont="1" applyFill="1" applyBorder="1" applyAlignment="1" applyProtection="1">
      <alignment horizontal="center"/>
    </xf>
    <xf numFmtId="0" fontId="191" fillId="0" borderId="62" xfId="371" applyFont="1" applyFill="1" applyBorder="1" applyAlignment="1">
      <alignment horizontal="center" vertical="center" wrapText="1"/>
    </xf>
    <xf numFmtId="4" fontId="163" fillId="0" borderId="67" xfId="371" applyNumberFormat="1" applyFont="1" applyBorder="1" applyAlignment="1">
      <alignment horizontal="right" vertical="center"/>
    </xf>
    <xf numFmtId="0" fontId="188" fillId="0" borderId="0" xfId="371" applyFont="1" applyAlignment="1">
      <alignment horizontal="right" vertical="center"/>
    </xf>
    <xf numFmtId="0" fontId="191" fillId="0" borderId="62" xfId="371" applyFont="1" applyBorder="1" applyAlignment="1">
      <alignment horizontal="center" vertical="center" wrapText="1"/>
    </xf>
    <xf numFmtId="0" fontId="191" fillId="0" borderId="62" xfId="371" applyNumberFormat="1" applyFont="1" applyFill="1" applyBorder="1" applyAlignment="1">
      <alignment horizontal="center" vertical="center" wrapText="1"/>
    </xf>
    <xf numFmtId="49" fontId="163" fillId="0" borderId="0" xfId="371" applyNumberFormat="1" applyFont="1" applyBorder="1" applyAlignment="1">
      <alignment horizontal="right" vertical="center"/>
    </xf>
    <xf numFmtId="1" fontId="188" fillId="0" borderId="0" xfId="0" applyNumberFormat="1" applyFont="1" applyFill="1" applyAlignment="1">
      <alignment horizontal="right" vertical="center"/>
    </xf>
    <xf numFmtId="0" fontId="132" fillId="0" borderId="62" xfId="371" applyFont="1" applyFill="1" applyBorder="1" applyAlignment="1">
      <alignment horizontal="center" vertical="center" wrapText="1"/>
    </xf>
    <xf numFmtId="0" fontId="144" fillId="0" borderId="0" xfId="371" applyFont="1" applyFill="1" applyBorder="1" applyAlignment="1">
      <alignment horizontal="center" vertical="center" wrapText="1"/>
    </xf>
    <xf numFmtId="0" fontId="174" fillId="0" borderId="0" xfId="371" applyFont="1" applyFill="1" applyBorder="1" applyAlignment="1">
      <alignment horizontal="center" vertical="center" wrapText="1"/>
    </xf>
    <xf numFmtId="0" fontId="132" fillId="0" borderId="62" xfId="371" applyFont="1" applyBorder="1" applyAlignment="1">
      <alignment horizontal="center" vertical="center" wrapText="1"/>
    </xf>
    <xf numFmtId="0" fontId="151" fillId="0" borderId="67" xfId="371" applyFont="1" applyFill="1" applyBorder="1" applyAlignment="1">
      <alignment horizontal="right" vertical="center"/>
    </xf>
    <xf numFmtId="1" fontId="131" fillId="0" borderId="0" xfId="0" applyNumberFormat="1" applyFont="1" applyFill="1" applyBorder="1" applyAlignment="1">
      <alignment horizontal="center"/>
    </xf>
    <xf numFmtId="1" fontId="28" fillId="0" borderId="3" xfId="0" applyNumberFormat="1" applyFont="1" applyFill="1" applyBorder="1" applyAlignment="1">
      <alignment horizontal="center"/>
    </xf>
    <xf numFmtId="0" fontId="144" fillId="0" borderId="0" xfId="371" applyFont="1" applyFill="1" applyBorder="1" applyAlignment="1">
      <alignment horizontal="center"/>
    </xf>
    <xf numFmtId="0" fontId="143" fillId="0" borderId="25" xfId="371" applyFont="1" applyFill="1" applyBorder="1" applyAlignment="1">
      <alignment horizontal="center"/>
    </xf>
    <xf numFmtId="0" fontId="143" fillId="0" borderId="3" xfId="371" applyFont="1" applyFill="1" applyBorder="1" applyAlignment="1">
      <alignment horizontal="center"/>
    </xf>
    <xf numFmtId="0" fontId="154" fillId="0" borderId="59" xfId="371" applyFont="1" applyFill="1" applyBorder="1" applyAlignment="1">
      <alignment horizontal="center"/>
    </xf>
    <xf numFmtId="0" fontId="188" fillId="0" borderId="0" xfId="369" applyFont="1" applyAlignment="1">
      <alignment horizontal="right" vertical="center"/>
    </xf>
    <xf numFmtId="0" fontId="144" fillId="0" borderId="0" xfId="363" applyFont="1" applyBorder="1" applyAlignment="1">
      <alignment horizontal="center" vertical="center"/>
    </xf>
    <xf numFmtId="0" fontId="174" fillId="0" borderId="0" xfId="363" applyFont="1" applyFill="1" applyBorder="1" applyAlignment="1">
      <alignment horizontal="center" vertical="center"/>
    </xf>
    <xf numFmtId="49" fontId="189" fillId="0" borderId="62" xfId="367" applyNumberFormat="1" applyFont="1" applyBorder="1" applyAlignment="1">
      <alignment horizontal="center" vertical="center" wrapText="1"/>
    </xf>
    <xf numFmtId="0" fontId="130" fillId="0" borderId="0" xfId="363" applyFont="1" applyBorder="1" applyAlignment="1">
      <alignment horizontal="right" vertical="center"/>
    </xf>
    <xf numFmtId="0" fontId="144" fillId="0" borderId="0" xfId="0" applyFont="1" applyFill="1" applyBorder="1" applyAlignment="1">
      <alignment horizontal="center"/>
    </xf>
    <xf numFmtId="0" fontId="144" fillId="0" borderId="3" xfId="0" applyFont="1" applyBorder="1" applyAlignment="1">
      <alignment horizontal="center" vertical="center"/>
    </xf>
    <xf numFmtId="0" fontId="142" fillId="0" borderId="3" xfId="0" applyFont="1" applyBorder="1" applyAlignment="1">
      <alignment horizontal="center" vertical="center"/>
    </xf>
    <xf numFmtId="0" fontId="157" fillId="0" borderId="18" xfId="0" applyFont="1" applyBorder="1" applyAlignment="1">
      <alignment horizontal="center" vertical="center"/>
    </xf>
    <xf numFmtId="0" fontId="142" fillId="0" borderId="53" xfId="0" applyFont="1" applyBorder="1" applyAlignment="1">
      <alignment horizontal="center" vertical="center"/>
    </xf>
    <xf numFmtId="0" fontId="157" fillId="0" borderId="3" xfId="0" applyFont="1" applyBorder="1" applyAlignment="1">
      <alignment horizontal="center" vertical="center"/>
    </xf>
    <xf numFmtId="0" fontId="161" fillId="0" borderId="62" xfId="0" applyFont="1" applyBorder="1" applyAlignment="1">
      <alignment horizontal="center"/>
    </xf>
    <xf numFmtId="0" fontId="147" fillId="0" borderId="0" xfId="371" applyFont="1" applyBorder="1" applyAlignment="1">
      <alignment horizontal="center"/>
    </xf>
    <xf numFmtId="0" fontId="142" fillId="0" borderId="0" xfId="371" applyFont="1" applyBorder="1" applyAlignment="1">
      <alignment horizontal="center"/>
    </xf>
    <xf numFmtId="0" fontId="142" fillId="0" borderId="64" xfId="0" applyFont="1" applyBorder="1" applyAlignment="1">
      <alignment horizontal="center" vertical="center"/>
    </xf>
    <xf numFmtId="0" fontId="142" fillId="0" borderId="65" xfId="0" applyFont="1" applyBorder="1" applyAlignment="1">
      <alignment horizontal="center" vertical="center"/>
    </xf>
    <xf numFmtId="0" fontId="167" fillId="0" borderId="63" xfId="0" applyFont="1" applyFill="1" applyBorder="1" applyAlignment="1">
      <alignment horizontal="left" wrapText="1"/>
    </xf>
    <xf numFmtId="3" fontId="174" fillId="0" borderId="0" xfId="0" applyNumberFormat="1" applyFont="1" applyAlignment="1">
      <alignment horizontal="center"/>
    </xf>
    <xf numFmtId="3" fontId="153" fillId="0" borderId="0" xfId="0" applyNumberFormat="1" applyFont="1" applyAlignment="1">
      <alignment horizontal="center"/>
    </xf>
    <xf numFmtId="0" fontId="176" fillId="0" borderId="0" xfId="0" applyFont="1" applyAlignment="1">
      <alignment horizontal="center"/>
    </xf>
    <xf numFmtId="0" fontId="173" fillId="0" borderId="0" xfId="0" applyFont="1" applyAlignment="1">
      <alignment horizontal="center"/>
    </xf>
    <xf numFmtId="0" fontId="175" fillId="0" borderId="0" xfId="0" applyFont="1" applyAlignment="1">
      <alignment horizontal="center"/>
    </xf>
    <xf numFmtId="0" fontId="172" fillId="0" borderId="0" xfId="0" applyFont="1" applyAlignment="1">
      <alignment horizontal="right"/>
    </xf>
    <xf numFmtId="0" fontId="179" fillId="0" borderId="62" xfId="0" applyFont="1" applyBorder="1" applyAlignment="1">
      <alignment horizontal="center" vertical="center"/>
    </xf>
    <xf numFmtId="0" fontId="181" fillId="0" borderId="0" xfId="0" applyFont="1" applyAlignment="1">
      <alignment horizontal="center"/>
    </xf>
    <xf numFmtId="0" fontId="176" fillId="0" borderId="0" xfId="0" applyFont="1" applyAlignment="1">
      <alignment horizontal="left" vertical="center" wrapText="1"/>
    </xf>
    <xf numFmtId="0" fontId="176" fillId="0" borderId="0" xfId="0" applyFont="1" applyAlignment="1">
      <alignment horizontal="left" vertical="center"/>
    </xf>
    <xf numFmtId="0" fontId="176" fillId="0" borderId="0" xfId="0" applyFont="1" applyAlignment="1">
      <alignment horizontal="center" vertical="center"/>
    </xf>
    <xf numFmtId="0" fontId="181" fillId="0" borderId="0" xfId="0" applyFont="1" applyAlignment="1">
      <alignment horizontal="center" wrapText="1"/>
    </xf>
    <xf numFmtId="0" fontId="180" fillId="0" borderId="67" xfId="0" applyFont="1" applyBorder="1" applyAlignment="1">
      <alignment horizontal="right"/>
    </xf>
    <xf numFmtId="0" fontId="180" fillId="0" borderId="0" xfId="0" applyFont="1" applyAlignment="1">
      <alignment horizontal="center"/>
    </xf>
    <xf numFmtId="0" fontId="168" fillId="0" borderId="0" xfId="0" applyFont="1" applyAlignment="1">
      <alignment horizontal="center"/>
    </xf>
    <xf numFmtId="49" fontId="188" fillId="0" borderId="0" xfId="0" applyNumberFormat="1" applyFont="1" applyAlignment="1">
      <alignment horizontal="left" vertical="center" wrapText="1"/>
    </xf>
    <xf numFmtId="0" fontId="188" fillId="0" borderId="0" xfId="0" applyFont="1" applyAlignment="1">
      <alignment horizontal="center" vertical="center" wrapText="1"/>
    </xf>
    <xf numFmtId="49" fontId="162" fillId="0" borderId="0" xfId="0" applyNumberFormat="1" applyFont="1" applyAlignment="1">
      <alignment horizontal="center" vertical="center" wrapText="1"/>
    </xf>
    <xf numFmtId="3" fontId="183" fillId="0" borderId="0" xfId="0" applyNumberFormat="1" applyFont="1" applyAlignment="1">
      <alignment horizontal="center" vertical="center" wrapText="1"/>
    </xf>
    <xf numFmtId="0" fontId="163" fillId="0" borderId="67" xfId="0" applyFont="1" applyBorder="1" applyAlignment="1">
      <alignment horizontal="right" vertical="center"/>
    </xf>
    <xf numFmtId="49" fontId="200" fillId="0" borderId="62" xfId="0" applyNumberFormat="1" applyFont="1" applyBorder="1" applyAlignment="1">
      <alignment horizontal="center" vertical="center" wrapText="1"/>
    </xf>
    <xf numFmtId="0" fontId="200" fillId="0" borderId="62" xfId="0" applyFont="1" applyBorder="1" applyAlignment="1">
      <alignment horizontal="center" vertical="center" wrapText="1"/>
    </xf>
    <xf numFmtId="0" fontId="163" fillId="0" borderId="67" xfId="0" applyFont="1" applyBorder="1" applyAlignment="1">
      <alignment horizontal="right"/>
    </xf>
    <xf numFmtId="0" fontId="184" fillId="0" borderId="0" xfId="0" applyFont="1" applyAlignment="1">
      <alignment horizontal="center" vertical="center" wrapText="1"/>
    </xf>
    <xf numFmtId="49" fontId="185" fillId="0" borderId="0" xfId="0" applyNumberFormat="1" applyFont="1" applyAlignment="1">
      <alignment horizontal="center" vertical="center" wrapText="1"/>
    </xf>
    <xf numFmtId="3" fontId="185" fillId="0" borderId="0" xfId="0" applyNumberFormat="1" applyFont="1" applyAlignment="1">
      <alignment horizontal="center" vertical="center" wrapText="1"/>
    </xf>
    <xf numFmtId="3" fontId="174" fillId="0" borderId="63" xfId="0" applyNumberFormat="1" applyFont="1" applyBorder="1" applyAlignment="1">
      <alignment horizontal="center" vertical="center" wrapText="1"/>
    </xf>
    <xf numFmtId="3" fontId="188" fillId="0" borderId="0" xfId="0" applyNumberFormat="1" applyFont="1" applyBorder="1" applyAlignment="1">
      <alignment horizontal="center" vertical="center" wrapText="1"/>
    </xf>
    <xf numFmtId="0" fontId="185" fillId="0" borderId="0" xfId="0" applyFont="1" applyAlignment="1">
      <alignment horizontal="center" vertical="center" wrapText="1"/>
    </xf>
    <xf numFmtId="49" fontId="183" fillId="0" borderId="0" xfId="0" applyNumberFormat="1" applyFont="1" applyAlignment="1">
      <alignment horizontal="center" vertical="center" wrapText="1"/>
    </xf>
    <xf numFmtId="0" fontId="174" fillId="0" borderId="0" xfId="0" applyFont="1" applyAlignment="1">
      <alignment horizontal="center" vertical="center" wrapText="1"/>
    </xf>
  </cellXfs>
  <cellStyles count="533">
    <cellStyle name="_x0001_" xfId="1"/>
    <cellStyle name="          _x000d__x000a_shell=progman.exe_x000d__x000a_m" xfId="2"/>
    <cellStyle name="_x0001_ 2" xfId="3"/>
    <cellStyle name="??" xfId="4"/>
    <cellStyle name="?? [0.00]_ Att. 1- Cover" xfId="5"/>
    <cellStyle name="?? [0]" xfId="6"/>
    <cellStyle name="?? [0] 2" xfId="7"/>
    <cellStyle name="?? 2" xfId="8"/>
    <cellStyle name="?? 3" xfId="9"/>
    <cellStyle name="?_x001d_??%U©÷u&amp;H©÷9_x0008_? s_x000a__x0007__x0001__x0001_" xfId="10"/>
    <cellStyle name="???? [0.00]_PRODUCT DETAIL Q1" xfId="11"/>
    <cellStyle name="????_??" xfId="12"/>
    <cellStyle name="???[0]_?? DI" xfId="13"/>
    <cellStyle name="???_?? DI" xfId="14"/>
    <cellStyle name="??[0]_BRE" xfId="15"/>
    <cellStyle name="??_ Att. 1- Cover" xfId="16"/>
    <cellStyle name="??A? [0]_ÿÿÿÿÿÿ_1_¢¬???¢â? " xfId="17"/>
    <cellStyle name="??A?_ÿÿÿÿÿÿ_1_¢¬???¢â? " xfId="18"/>
    <cellStyle name="?¡±¢¥?_?¨ù??¢´¢¥_¢¬???¢â? " xfId="19"/>
    <cellStyle name="?ðÇ%U?&amp;H?_x0008_?s_x000a__x0007__x0001__x0001_" xfId="20"/>
    <cellStyle name="_x0001_@_x0001_@_x0001_@_x0001_@_x0001_@_x0001_@_x0001_@_x0001_@_x0001_@_x0001_@_x0001_@_x0001_@_x0001_@_x0001_@_x0001_@_x0001_@_x0001_@_x0001_@_x0001_@_x0001_@_x0001_@_x0001_@_x0001_@_x0001_@_x0001_@_x0001_@_x0001_@_x0001_@_x0001_@_x0001_@_x0001_@_x0001_@" xfId="21"/>
    <cellStyle name="_x0001_@_x0001_@_x0001_@_x0001_@_x0001_@_x0001_@_x0001_@_x0001_@_x0001_@_x0001_@_x0001_@_x0001_@_x0001_@_x0001_@_x0001_@_x0001_@_x0001_@_x0001_@_x0001_@_x0001_@_x0001_@_x0001_@_x0001_@_x0001_@_x0001_@_x0001_@_x0001_@_x0001_@_x0001_@_x0001_Canon" xfId="22"/>
    <cellStyle name="_x0001_@_x0001_@_x0001_@_x0001_@_x0001_@_x0001_@_x0001_@_x0001_@_x0001_@_x0001_@_x0001_@_x0001_@_x0001_@_x0001_@_x0001_@_x0001_@_x0001_@_x0001_@_x0001_@_x0001_@_x0001_@_x0001_Canon LBP-" xfId="23"/>
    <cellStyle name="_x0001_@_x0001_@_x0001_@_x0001_@_x0001_@_x0001_@_x0001_@_x0001_@_x0001_@_x0001_@_x0001_@_x0001_@_x0001_@_x0001_Canon LBP-" xfId="24"/>
    <cellStyle name="_x0001_@_x0001_@_x0001_@_x0001_@_x0001_Canon LBP-" xfId="25"/>
    <cellStyle name="_Book1" xfId="26"/>
    <cellStyle name="_Book1_1" xfId="27"/>
    <cellStyle name="_Book1_2" xfId="28"/>
    <cellStyle name="_Book1_3" xfId="29"/>
    <cellStyle name="_Book1_TKHC-THOIQUAN-05-04-2004" xfId="30"/>
    <cellStyle name="_KT (2)" xfId="31"/>
    <cellStyle name="_KT (2)_1" xfId="32"/>
    <cellStyle name="_KT (2)_1 2" xfId="33"/>
    <cellStyle name="_KT (2)_2" xfId="34"/>
    <cellStyle name="_KT (2)_2 2" xfId="35"/>
    <cellStyle name="_KT (2)_2_TG-TH" xfId="36"/>
    <cellStyle name="_KT (2)_2_TG-TH_Book1" xfId="37"/>
    <cellStyle name="_KT (2)_2_TG-TH_Book1_1" xfId="38"/>
    <cellStyle name="_KT (2)_2_TG-TH_Book1_TKHC-THOIQUAN-05-04-2004" xfId="39"/>
    <cellStyle name="_KT (2)_2_TG-TH_TKHC-THOIQUAN-05-04-2004" xfId="40"/>
    <cellStyle name="_KT (2)_3" xfId="41"/>
    <cellStyle name="_KT (2)_3 2" xfId="42"/>
    <cellStyle name="_KT (2)_3_TG-TH" xfId="43"/>
    <cellStyle name="_KT (2)_3_TG-TH_Book1" xfId="44"/>
    <cellStyle name="_KT (2)_3_TG-TH_Book1_1" xfId="45"/>
    <cellStyle name="_KT (2)_3_TG-TH_Book1_TKHC-THOIQUAN-05-04-2004" xfId="46"/>
    <cellStyle name="_KT (2)_3_TG-TH_TKHC-THOIQUAN-05-04-2004" xfId="47"/>
    <cellStyle name="_KT (2)_4" xfId="48"/>
    <cellStyle name="_KT (2)_4_Book1" xfId="49"/>
    <cellStyle name="_KT (2)_4_Book1_1" xfId="50"/>
    <cellStyle name="_KT (2)_4_Book1_TKHC-THOIQUAN-05-04-2004" xfId="51"/>
    <cellStyle name="_KT (2)_4_TG-TH" xfId="52"/>
    <cellStyle name="_KT (2)_4_TG-TH 2" xfId="53"/>
    <cellStyle name="_KT (2)_4_TKHC-THOIQUAN-05-04-2004" xfId="54"/>
    <cellStyle name="_KT (2)_5" xfId="55"/>
    <cellStyle name="_KT (2)_5_Book1" xfId="56"/>
    <cellStyle name="_KT (2)_5_Book1_1" xfId="57"/>
    <cellStyle name="_KT (2)_5_Book1_TKHC-THOIQUAN-05-04-2004" xfId="58"/>
    <cellStyle name="_KT (2)_5_TKHC-THOIQUAN-05-04-2004" xfId="59"/>
    <cellStyle name="_KT (2)_Book1" xfId="60"/>
    <cellStyle name="_KT (2)_Book1_1" xfId="61"/>
    <cellStyle name="_KT (2)_Book1_TKHC-THOIQUAN-05-04-2004" xfId="62"/>
    <cellStyle name="_KT (2)_TG-TH" xfId="63"/>
    <cellStyle name="_KT (2)_TG-TH 2" xfId="64"/>
    <cellStyle name="_KT (2)_TKHC-THOIQUAN-05-04-2004" xfId="65"/>
    <cellStyle name="_KT_TG" xfId="66"/>
    <cellStyle name="_KT_TG 2" xfId="67"/>
    <cellStyle name="_KT_TG_1" xfId="68"/>
    <cellStyle name="_KT_TG_1_Book1" xfId="69"/>
    <cellStyle name="_KT_TG_1_Book1_1" xfId="70"/>
    <cellStyle name="_KT_TG_1_Book1_TKHC-THOIQUAN-05-04-2004" xfId="71"/>
    <cellStyle name="_KT_TG_1_TKHC-THOIQUAN-05-04-2004" xfId="72"/>
    <cellStyle name="_KT_TG_2" xfId="73"/>
    <cellStyle name="_KT_TG_2_Book1" xfId="74"/>
    <cellStyle name="_KT_TG_2_Book1_1" xfId="75"/>
    <cellStyle name="_KT_TG_2_Book1_TKHC-THOIQUAN-05-04-2004" xfId="76"/>
    <cellStyle name="_KT_TG_2_TKHC-THOIQUAN-05-04-2004" xfId="77"/>
    <cellStyle name="_KT_TG_3" xfId="78"/>
    <cellStyle name="_KT_TG_3 2" xfId="79"/>
    <cellStyle name="_KT_TG_4" xfId="80"/>
    <cellStyle name="_KT_TG_4 2" xfId="81"/>
    <cellStyle name="_TG-TH" xfId="82"/>
    <cellStyle name="_TG-TH 2" xfId="83"/>
    <cellStyle name="_TG-TH_1" xfId="84"/>
    <cellStyle name="_TG-TH_1_Book1" xfId="85"/>
    <cellStyle name="_TG-TH_1_Book1_1" xfId="86"/>
    <cellStyle name="_TG-TH_1_Book1_TKHC-THOIQUAN-05-04-2004" xfId="87"/>
    <cellStyle name="_TG-TH_1_TKHC-THOIQUAN-05-04-2004" xfId="88"/>
    <cellStyle name="_TG-TH_2" xfId="89"/>
    <cellStyle name="_TG-TH_2_Book1" xfId="90"/>
    <cellStyle name="_TG-TH_2_Book1_1" xfId="91"/>
    <cellStyle name="_TG-TH_2_Book1_TKHC-THOIQUAN-05-04-2004" xfId="92"/>
    <cellStyle name="_TG-TH_2_TKHC-THOIQUAN-05-04-2004" xfId="93"/>
    <cellStyle name="_TG-TH_3" xfId="94"/>
    <cellStyle name="_TG-TH_3 2" xfId="95"/>
    <cellStyle name="_TG-TH_4" xfId="96"/>
    <cellStyle name="_TG-TH_4 2" xfId="97"/>
    <cellStyle name="_TKHC-THOIQUAN-05-04-2004" xfId="98"/>
    <cellStyle name="•W€_’·Šú‰p•¶" xfId="99"/>
    <cellStyle name="•W_’·Šú‰p•¶" xfId="100"/>
    <cellStyle name="0" xfId="101"/>
    <cellStyle name="1" xfId="102"/>
    <cellStyle name="¹éºÐÀ²_      " xfId="103"/>
    <cellStyle name="2" xfId="104"/>
    <cellStyle name="20" xfId="105"/>
    <cellStyle name="20% - Accent1 2" xfId="106"/>
    <cellStyle name="20% - Accent2 2" xfId="107"/>
    <cellStyle name="20% - Accent3 2" xfId="108"/>
    <cellStyle name="20% - Accent4 2" xfId="109"/>
    <cellStyle name="20% - Accent5 2" xfId="110"/>
    <cellStyle name="20% - Accent6 2" xfId="111"/>
    <cellStyle name="20% - Nhấn1" xfId="112"/>
    <cellStyle name="20% - Nhấn2" xfId="113"/>
    <cellStyle name="20% - Nhấn3" xfId="114"/>
    <cellStyle name="20% - Nhấn4" xfId="115"/>
    <cellStyle name="20% - Nhấn5" xfId="116"/>
    <cellStyle name="20% - Nhấn6" xfId="117"/>
    <cellStyle name="3" xfId="118"/>
    <cellStyle name="4" xfId="119"/>
    <cellStyle name="40% - Accent1 2" xfId="120"/>
    <cellStyle name="40% - Accent2 2" xfId="121"/>
    <cellStyle name="40% - Accent3 2" xfId="122"/>
    <cellStyle name="40% - Accent4 2" xfId="123"/>
    <cellStyle name="40% - Accent5 2" xfId="124"/>
    <cellStyle name="40% - Accent6 2" xfId="125"/>
    <cellStyle name="40% - Nhấn1" xfId="126"/>
    <cellStyle name="40% - Nhấn2" xfId="127"/>
    <cellStyle name="40% - Nhấn3" xfId="128"/>
    <cellStyle name="40% - Nhấn4" xfId="129"/>
    <cellStyle name="40% - Nhấn5" xfId="130"/>
    <cellStyle name="40% - Nhấn6" xfId="131"/>
    <cellStyle name="52" xfId="132"/>
    <cellStyle name="6" xfId="133"/>
    <cellStyle name="60% - Accent1 2" xfId="134"/>
    <cellStyle name="60% - Accent2 2" xfId="135"/>
    <cellStyle name="60% - Accent3 2" xfId="136"/>
    <cellStyle name="60% - Accent4 2" xfId="137"/>
    <cellStyle name="60% - Accent5 2" xfId="138"/>
    <cellStyle name="60% - Accent6 2" xfId="139"/>
    <cellStyle name="60% - Nhấn1" xfId="140"/>
    <cellStyle name="60% - Nhấn2" xfId="141"/>
    <cellStyle name="60% - Nhấn3" xfId="142"/>
    <cellStyle name="60% - Nhấn4" xfId="143"/>
    <cellStyle name="60% - Nhấn5" xfId="144"/>
    <cellStyle name="60% - Nhấn6" xfId="145"/>
    <cellStyle name="Accent1 2" xfId="146"/>
    <cellStyle name="Accent2 2" xfId="147"/>
    <cellStyle name="Accent3 2" xfId="148"/>
    <cellStyle name="Accent4 2" xfId="149"/>
    <cellStyle name="Accent5 2" xfId="150"/>
    <cellStyle name="Accent6 2" xfId="151"/>
    <cellStyle name="ÅëÈ­ [0]_      " xfId="152"/>
    <cellStyle name="AeE­ [0]_INQUIRY ¿?¾÷AßAø " xfId="153"/>
    <cellStyle name="ÅëÈ­ [0]_laroux" xfId="154"/>
    <cellStyle name="ÅëÈ­_      " xfId="155"/>
    <cellStyle name="AeE­_INQUIRY ¿?¾÷AßAø " xfId="156"/>
    <cellStyle name="ÅëÈ­_L601CPT" xfId="157"/>
    <cellStyle name="args.style" xfId="158"/>
    <cellStyle name="ÄÞ¸¶ [0]_      " xfId="159"/>
    <cellStyle name="AÞ¸¶ [0]_INQUIRY ¿?¾÷AßAø " xfId="160"/>
    <cellStyle name="ÄÞ¸¶ [0]_L601CPT" xfId="161"/>
    <cellStyle name="ÄÞ¸¶_      " xfId="162"/>
    <cellStyle name="AÞ¸¶_INQUIRY ¿?¾÷AßAø " xfId="163"/>
    <cellStyle name="ÄÞ¸¶_L601CPT" xfId="164"/>
    <cellStyle name="AutoFormat Options" xfId="165"/>
    <cellStyle name="AutoFormat Options 2" xfId="166"/>
    <cellStyle name="Bad 2" xfId="167"/>
    <cellStyle name="BILL제목" xfId="168"/>
    <cellStyle name="Bình thường 2" xfId="169"/>
    <cellStyle name="Body" xfId="170"/>
    <cellStyle name="C?AØ_¿?¾÷CoE² " xfId="171"/>
    <cellStyle name="Ç¥ÁØ_      " xfId="172"/>
    <cellStyle name="C￥AØ_¿μ¾÷CoE² " xfId="173"/>
    <cellStyle name="Ç¥ÁØ_±¸¹Ì´ëÃ¥" xfId="174"/>
    <cellStyle name="C￥AØ_Sheet1_¿μ¾÷CoE² " xfId="175"/>
    <cellStyle name="Calc Currency (0)" xfId="176"/>
    <cellStyle name="Calculation 2" xfId="177"/>
    <cellStyle name="category" xfId="178"/>
    <cellStyle name="category 2" xfId="179"/>
    <cellStyle name="Comma" xfId="181" builtinId="3"/>
    <cellStyle name="Comma  - Style1" xfId="182"/>
    <cellStyle name="Comma  - Style2" xfId="183"/>
    <cellStyle name="Comma  - Style3" xfId="184"/>
    <cellStyle name="Comma  - Style4" xfId="185"/>
    <cellStyle name="Comma  - Style5" xfId="186"/>
    <cellStyle name="Comma  - Style6" xfId="187"/>
    <cellStyle name="Comma  - Style7" xfId="188"/>
    <cellStyle name="Comma  - Style8" xfId="189"/>
    <cellStyle name="Comma [ ,]" xfId="190"/>
    <cellStyle name="Comma [0] 2" xfId="191"/>
    <cellStyle name="Comma 10" xfId="192"/>
    <cellStyle name="Comma 11" xfId="193"/>
    <cellStyle name="Comma 12" xfId="194"/>
    <cellStyle name="Comma 13" xfId="195"/>
    <cellStyle name="Comma 14" xfId="196"/>
    <cellStyle name="Comma 15" xfId="197"/>
    <cellStyle name="Comma 2" xfId="198"/>
    <cellStyle name="Comma 2 2" xfId="199"/>
    <cellStyle name="Comma 3" xfId="200"/>
    <cellStyle name="Comma 3 2" xfId="201"/>
    <cellStyle name="Comma 3 3" xfId="202"/>
    <cellStyle name="Comma 3 4" xfId="203"/>
    <cellStyle name="Comma 3 5" xfId="204"/>
    <cellStyle name="Comma 3_PL6-14" xfId="205"/>
    <cellStyle name="Comma 4" xfId="206"/>
    <cellStyle name="Comma 4 2" xfId="207"/>
    <cellStyle name="Comma 4 3" xfId="208"/>
    <cellStyle name="Comma 4 4" xfId="209"/>
    <cellStyle name="Comma 5" xfId="210"/>
    <cellStyle name="Comma 5 2" xfId="211"/>
    <cellStyle name="Comma 6" xfId="212"/>
    <cellStyle name="Comma 6 2" xfId="213"/>
    <cellStyle name="Comma 7" xfId="214"/>
    <cellStyle name="Comma 7 2" xfId="215"/>
    <cellStyle name="Comma 8" xfId="216"/>
    <cellStyle name="Comma 9" xfId="217"/>
    <cellStyle name="comma zerodec" xfId="218"/>
    <cellStyle name="Comma_Chi huyen 47" xfId="219"/>
    <cellStyle name="Comma_QT tong hop 2004 goi Bo TC" xfId="220"/>
    <cellStyle name="Comma_QT tong hop 2004_luu13102005" xfId="221"/>
    <cellStyle name="Comma_THCTT" xfId="222"/>
    <cellStyle name="Comma0" xfId="223"/>
    <cellStyle name="Commaɟpldt_6" xfId="224"/>
    <cellStyle name="Copied" xfId="225"/>
    <cellStyle name="Curråncy [0]_FCST_RESULTS" xfId="226"/>
    <cellStyle name="Currency [0]ßmud plant bolted_RESULTS" xfId="227"/>
    <cellStyle name="Currency 2" xfId="228"/>
    <cellStyle name="Currency![0]_FCSt (2)" xfId="229"/>
    <cellStyle name="Currency0" xfId="230"/>
    <cellStyle name="Currency1" xfId="231"/>
    <cellStyle name="Check Cell 2" xfId="180"/>
    <cellStyle name="Date" xfId="232"/>
    <cellStyle name="Dấu_phảy 2" xfId="235"/>
    <cellStyle name="Dezimal [0]_NEGS" xfId="240"/>
    <cellStyle name="Dezimal_NEGS" xfId="241"/>
    <cellStyle name="Dollar (zero dec)" xfId="242"/>
    <cellStyle name="Dziesietny [0]_Invoices2001Slovakia" xfId="243"/>
    <cellStyle name="Dziesiętny [0]_Invoices2001Slovakia" xfId="244"/>
    <cellStyle name="Dziesietny_Invoices2001Slovakia" xfId="245"/>
    <cellStyle name="Dziesiętny_Invoices2001Slovakia" xfId="246"/>
    <cellStyle name="Đầu ra" xfId="233"/>
    <cellStyle name="Đầu vào" xfId="234"/>
    <cellStyle name="Đề mục 1" xfId="236"/>
    <cellStyle name="Đề mục 2" xfId="237"/>
    <cellStyle name="Đề mục 3" xfId="238"/>
    <cellStyle name="Đề mục 4" xfId="239"/>
    <cellStyle name="Entered" xfId="247"/>
    <cellStyle name="Explanatory Text 2" xfId="248"/>
    <cellStyle name="Fixed" xfId="249"/>
    <cellStyle name="Font Britannic16" xfId="250"/>
    <cellStyle name="Font Britannic18" xfId="251"/>
    <cellStyle name="Font CenturyCond 18" xfId="252"/>
    <cellStyle name="Font Cond20" xfId="253"/>
    <cellStyle name="Font LucidaSans16" xfId="254"/>
    <cellStyle name="Font NewCenturyCond18" xfId="255"/>
    <cellStyle name="Font Ottawa14" xfId="256"/>
    <cellStyle name="Font Ottawa16" xfId="257"/>
    <cellStyle name="Ghi chú" xfId="258"/>
    <cellStyle name="Good 2" xfId="259"/>
    <cellStyle name="Grey" xfId="260"/>
    <cellStyle name="Grey 2" xfId="261"/>
    <cellStyle name="Grey 3" xfId="262"/>
    <cellStyle name="H" xfId="263"/>
    <cellStyle name="ha" xfId="264"/>
    <cellStyle name="hai" xfId="265"/>
    <cellStyle name="Head 1" xfId="266"/>
    <cellStyle name="Head 1 2" xfId="267"/>
    <cellStyle name="HEADER" xfId="268"/>
    <cellStyle name="HEADER 2" xfId="269"/>
    <cellStyle name="Header1" xfId="270"/>
    <cellStyle name="Header2" xfId="271"/>
    <cellStyle name="Heading 1 2" xfId="272"/>
    <cellStyle name="Heading 2 2" xfId="273"/>
    <cellStyle name="Heading 3 2" xfId="274"/>
    <cellStyle name="Heading 4 2" xfId="275"/>
    <cellStyle name="HEADING1 1" xfId="276"/>
    <cellStyle name="HEADING2" xfId="277"/>
    <cellStyle name="HEADINGS" xfId="278"/>
    <cellStyle name="HEADINGSTOP" xfId="279"/>
    <cellStyle name="Hoa-Scholl" xfId="280"/>
    <cellStyle name="Hyperlink 2" xfId="281"/>
    <cellStyle name="Hyperlink 3" xfId="282"/>
    <cellStyle name="i·0" xfId="283"/>
    <cellStyle name="_x0001__x0004_Ĭ_x0001__x0001_Ĭ_x0003_" xfId="284"/>
    <cellStyle name="Input [yellow]" xfId="285"/>
    <cellStyle name="Input [yellow] 2" xfId="286"/>
    <cellStyle name="Input [yellow] 3" xfId="287"/>
    <cellStyle name="Input 2" xfId="288"/>
    <cellStyle name="Input 3" xfId="289"/>
    <cellStyle name="kien1" xfId="292"/>
    <cellStyle name="Kiểm tra Ô" xfId="291"/>
    <cellStyle name="khanh" xfId="290"/>
    <cellStyle name="Line" xfId="293"/>
    <cellStyle name="Linked Cell 2" xfId="294"/>
    <cellStyle name="Loai CBDT" xfId="295"/>
    <cellStyle name="Loai CT" xfId="296"/>
    <cellStyle name="Loai GD" xfId="297"/>
    <cellStyle name="Millares [0]_Well Timing" xfId="298"/>
    <cellStyle name="Millares_Well Timing" xfId="299"/>
    <cellStyle name="Model" xfId="300"/>
    <cellStyle name="Model 2" xfId="301"/>
    <cellStyle name="moi" xfId="302"/>
    <cellStyle name="Moneda [0]_Well Timing" xfId="303"/>
    <cellStyle name="Moneda_Well Timing" xfId="304"/>
    <cellStyle name="Monétaire [0]_TARIFFS DB" xfId="305"/>
    <cellStyle name="Monétaire_TARIFFS DB" xfId="306"/>
    <cellStyle name="n" xfId="307"/>
    <cellStyle name="Neutral 2" xfId="308"/>
    <cellStyle name="New Times Roman" xfId="309"/>
    <cellStyle name="no dec" xfId="316"/>
    <cellStyle name="Normal" xfId="0" builtinId="0"/>
    <cellStyle name="Normal - Style1" xfId="317"/>
    <cellStyle name="Normal - Style1 2" xfId="318"/>
    <cellStyle name="Normal - Style1 3" xfId="319"/>
    <cellStyle name="Normal - Style1 4" xfId="320"/>
    <cellStyle name="Normal - Style1_bIEU-02" xfId="321"/>
    <cellStyle name="Normal 10" xfId="322"/>
    <cellStyle name="Normal 10 2" xfId="323"/>
    <cellStyle name="Normal 10 3" xfId="324"/>
    <cellStyle name="Normal 11" xfId="325"/>
    <cellStyle name="Normal 12" xfId="326"/>
    <cellStyle name="Normal 13" xfId="327"/>
    <cellStyle name="Normal 14" xfId="328"/>
    <cellStyle name="Normal 15" xfId="329"/>
    <cellStyle name="Normal 16" xfId="330"/>
    <cellStyle name="Normal 17" xfId="331"/>
    <cellStyle name="Normal 18" xfId="332"/>
    <cellStyle name="Normal 19" xfId="333"/>
    <cellStyle name="Normal 2" xfId="334"/>
    <cellStyle name="Normal 2 2" xfId="335"/>
    <cellStyle name="Normal 2 3" xfId="336"/>
    <cellStyle name="Normal 2 4" xfId="337"/>
    <cellStyle name="Normal 2_14 " xfId="338"/>
    <cellStyle name="Normal 20" xfId="339"/>
    <cellStyle name="Normal 21" xfId="340"/>
    <cellStyle name="Normal 22" xfId="341"/>
    <cellStyle name="Normal 23" xfId="342"/>
    <cellStyle name="Normal 24" xfId="343"/>
    <cellStyle name="Normal 25" xfId="344"/>
    <cellStyle name="Normal 26" xfId="345"/>
    <cellStyle name="Normal 3" xfId="346"/>
    <cellStyle name="Normal 3 2" xfId="347"/>
    <cellStyle name="Normal 3_bIEU-02" xfId="348"/>
    <cellStyle name="Normal 4" xfId="349"/>
    <cellStyle name="Normal 4 2" xfId="350"/>
    <cellStyle name="Normal 4 3" xfId="351"/>
    <cellStyle name="Normal 4 4" xfId="352"/>
    <cellStyle name="Normal 4_14 " xfId="353"/>
    <cellStyle name="Normal 5" xfId="354"/>
    <cellStyle name="Normal 5 2" xfId="355"/>
    <cellStyle name="Normal 5_Sheet2" xfId="356"/>
    <cellStyle name="Normal 6" xfId="357"/>
    <cellStyle name="Normal 7" xfId="358"/>
    <cellStyle name="Normal 7 2" xfId="359"/>
    <cellStyle name="Normal 7_bIEU-02" xfId="360"/>
    <cellStyle name="Normal 8" xfId="361"/>
    <cellStyle name="Normal 9" xfId="362"/>
    <cellStyle name="Normal_6 thang" xfId="363"/>
    <cellStyle name="Normal_Bao cao XDCB 6 thang 2004" xfId="364"/>
    <cellStyle name="Normal_BIeu 03KB " xfId="532"/>
    <cellStyle name="Normal_Bieu mau (CV )" xfId="365"/>
    <cellStyle name="Normal_Cong khai tai chinh 2004" xfId="367"/>
    <cellStyle name="Normal_Chi huyen 47 (2)" xfId="366"/>
    <cellStyle name="Normal_Du toan NSNN 2003" xfId="368"/>
    <cellStyle name="Normal_QT 2011 trinh HDND" xfId="369"/>
    <cellStyle name="Normal_TH Chi" xfId="370"/>
    <cellStyle name="Normal_THCTT" xfId="371"/>
    <cellStyle name="Normal1" xfId="372"/>
    <cellStyle name="Normalny_Cennik obowiazuje od 06-08-2001 r (1)" xfId="373"/>
    <cellStyle name="Note 2" xfId="374"/>
    <cellStyle name="Nhấn1" xfId="310"/>
    <cellStyle name="Nhấn2" xfId="311"/>
    <cellStyle name="Nhấn3" xfId="312"/>
    <cellStyle name="Nhấn4" xfId="313"/>
    <cellStyle name="Nhấn5" xfId="314"/>
    <cellStyle name="Nhấn6" xfId="315"/>
    <cellStyle name="Œ…‹æØ‚è [0.00]_ÆÂ¹²" xfId="376"/>
    <cellStyle name="oft Excel]_x000d__x000a_Comment=The open=/f lines load custom functions into the Paste Function list._x000d__x000a_Maximized=2_x000d__x000a_Basics=1_x000d__x000a_A" xfId="377"/>
    <cellStyle name="oft Excel]_x000d__x000a_Comment=The open=/f lines load custom functions into the Paste Function list._x000d__x000a_Maximized=3_x000d__x000a_Basics=1_x000d__x000a_A" xfId="378"/>
    <cellStyle name="on LBP-" xfId="379"/>
    <cellStyle name="Output 2" xfId="380"/>
    <cellStyle name="Ô Được nối kết" xfId="375"/>
    <cellStyle name="Pattern" xfId="381"/>
    <cellStyle name="per.style" xfId="382"/>
    <cellStyle name="Percent [2]" xfId="383"/>
    <cellStyle name="Percent [2] 2" xfId="384"/>
    <cellStyle name="Percent [2] 3" xfId="385"/>
    <cellStyle name="Percent 2" xfId="386"/>
    <cellStyle name="Percent 3" xfId="387"/>
    <cellStyle name="Percent 4" xfId="388"/>
    <cellStyle name="regstoresfromspecstores" xfId="389"/>
    <cellStyle name="RevList" xfId="390"/>
    <cellStyle name="S—_x0008_" xfId="391"/>
    <cellStyle name="s]_x000d__x000a_spooler=yes_x000d__x000a_load=_x000d__x000a_Beep=yes_x000d__x000a_NullPort=None_x000d__x000a_BorderWidth=3_x000d__x000a_CursorBlinkRate=1200_x000d__x000a_DoubleClickSpeed=452_x000d__x000a_Programs=co" xfId="392"/>
    <cellStyle name="SAPBEXaggData" xfId="393"/>
    <cellStyle name="SAPBEXaggDataEmph" xfId="394"/>
    <cellStyle name="SAPBEXaggItem" xfId="395"/>
    <cellStyle name="SAPBEXchaText" xfId="396"/>
    <cellStyle name="SAPBEXexcBad7" xfId="397"/>
    <cellStyle name="SAPBEXexcBad8" xfId="398"/>
    <cellStyle name="SAPBEXexcBad9" xfId="399"/>
    <cellStyle name="SAPBEXexcCritical4" xfId="400"/>
    <cellStyle name="SAPBEXexcCritical5" xfId="401"/>
    <cellStyle name="SAPBEXexcCritical6" xfId="402"/>
    <cellStyle name="SAPBEXexcGood1" xfId="403"/>
    <cellStyle name="SAPBEXexcGood2" xfId="404"/>
    <cellStyle name="SAPBEXexcGood3" xfId="405"/>
    <cellStyle name="SAPBEXfilterDrill" xfId="406"/>
    <cellStyle name="SAPBEXfilterItem" xfId="407"/>
    <cellStyle name="SAPBEXfilterText" xfId="408"/>
    <cellStyle name="SAPBEXformats" xfId="409"/>
    <cellStyle name="SAPBEXheaderItem" xfId="410"/>
    <cellStyle name="SAPBEXheaderText" xfId="411"/>
    <cellStyle name="SAPBEXresData" xfId="412"/>
    <cellStyle name="SAPBEXresDataEmph" xfId="413"/>
    <cellStyle name="SAPBEXresItem" xfId="414"/>
    <cellStyle name="SAPBEXstdData" xfId="415"/>
    <cellStyle name="SAPBEXstdDataEmph" xfId="416"/>
    <cellStyle name="SAPBEXstdItem" xfId="417"/>
    <cellStyle name="SAPBEXtitle" xfId="418"/>
    <cellStyle name="SAPBEXundefined" xfId="419"/>
    <cellStyle name="SHADEDSTORES" xfId="420"/>
    <cellStyle name="specstores" xfId="421"/>
    <cellStyle name="Standard_NEGS" xfId="422"/>
    <cellStyle name="STTDG" xfId="423"/>
    <cellStyle name="Style 1" xfId="424"/>
    <cellStyle name="Style 10" xfId="425"/>
    <cellStyle name="Style 11" xfId="426"/>
    <cellStyle name="Style 12" xfId="427"/>
    <cellStyle name="Style 13" xfId="428"/>
    <cellStyle name="Style 14" xfId="429"/>
    <cellStyle name="Style 15" xfId="430"/>
    <cellStyle name="Style 16" xfId="431"/>
    <cellStyle name="Style 17" xfId="432"/>
    <cellStyle name="Style 18" xfId="433"/>
    <cellStyle name="Style 19" xfId="434"/>
    <cellStyle name="Style 2" xfId="435"/>
    <cellStyle name="Style 20" xfId="436"/>
    <cellStyle name="Style 21" xfId="437"/>
    <cellStyle name="Style 3" xfId="438"/>
    <cellStyle name="Style 4" xfId="439"/>
    <cellStyle name="Style 5" xfId="440"/>
    <cellStyle name="Style 6" xfId="441"/>
    <cellStyle name="Style 7" xfId="442"/>
    <cellStyle name="Style 8" xfId="443"/>
    <cellStyle name="Style 9" xfId="444"/>
    <cellStyle name="subhead" xfId="445"/>
    <cellStyle name="subhead 2" xfId="446"/>
    <cellStyle name="Subtotal" xfId="447"/>
    <cellStyle name="T" xfId="448"/>
    <cellStyle name="T 2" xfId="449"/>
    <cellStyle name="T_BC QT VON DAU TU XDCB NAM 2014 (PDT)" xfId="450"/>
    <cellStyle name="T_BenxuatXM2" xfId="451"/>
    <cellStyle name="T_Book1" xfId="452"/>
    <cellStyle name="T_Book1 2" xfId="453"/>
    <cellStyle name="T_Book1_BC QT VON DAU TU XDCB NAM 2014 (PDT)" xfId="454"/>
    <cellStyle name="T_Book1_Copy of Mau Dau tu TT59" xfId="455"/>
    <cellStyle name="T_Book1_Copy of Mau Dau tu TT59_QT NSNN NAM 2016 (12-5-2017 KTNN)" xfId="456"/>
    <cellStyle name="T_Book1_QT NSNN NAM 2016 (12-5-2017 KTNN)" xfId="457"/>
    <cellStyle name="T_Book1_QT VON DAU TU XDCB NAM 2011" xfId="458"/>
    <cellStyle name="T_Book1_QT VON DAU TU XDCB NAM 2013(09-10-2014)" xfId="459"/>
    <cellStyle name="T_Book1_Quy_t toán 210- 2015 -Si-CSL1" xfId="460"/>
    <cellStyle name="T_Copy of Mau Dau tu TT59" xfId="461"/>
    <cellStyle name="T_QT VON DAU TU XDCB NAM 2011" xfId="462"/>
    <cellStyle name="T_QT VON DAU TU XDCB NAM 2013(09-10-2014)" xfId="463"/>
    <cellStyle name="T_Quy_t toán 210- 2015 -Si-CSL1" xfId="464"/>
    <cellStyle name="T_Tongdutoans" xfId="465"/>
    <cellStyle name="Tiêu đề" xfId="473"/>
    <cellStyle name="Tính toán" xfId="474"/>
    <cellStyle name="tit1" xfId="475"/>
    <cellStyle name="tit2" xfId="476"/>
    <cellStyle name="tit3" xfId="477"/>
    <cellStyle name="tit4" xfId="478"/>
    <cellStyle name="Title 2" xfId="479"/>
    <cellStyle name="Tong so" xfId="481"/>
    <cellStyle name="tong so 1" xfId="482"/>
    <cellStyle name="Tongcong" xfId="483"/>
    <cellStyle name="Total 2" xfId="485"/>
    <cellStyle name="Tổng" xfId="480"/>
    <cellStyle name="Tốt" xfId="484"/>
    <cellStyle name="tt1" xfId="487"/>
    <cellStyle name="th" xfId="466"/>
    <cellStyle name="th 2" xfId="467"/>
    <cellStyle name="þ_x001d_ð¤_x000c_¯þ_x0014__x000d_¨þU_x0001_À_x0004_ _x0015__x000f__x0001__x0001_" xfId="468"/>
    <cellStyle name="þ_x001d_ð·_x000c_æþ'_x000d_ßþU_x0001_Ø_x0005_ü_x0014__x0007__x0001__x0001_" xfId="469"/>
    <cellStyle name="thuong-10" xfId="470"/>
    <cellStyle name="thuong-11" xfId="471"/>
    <cellStyle name="Thuyet minh" xfId="472"/>
    <cellStyle name="Trung tính" xfId="486"/>
    <cellStyle name="VANG1" xfId="490"/>
    <cellStyle name="Văn bản Cảnh báo" xfId="488"/>
    <cellStyle name="Văn bản Giải thích" xfId="489"/>
    <cellStyle name="viet" xfId="491"/>
    <cellStyle name="viet 2" xfId="492"/>
    <cellStyle name="viet2" xfId="493"/>
    <cellStyle name="viet2 2" xfId="494"/>
    <cellStyle name="Vn Time 13" xfId="495"/>
    <cellStyle name="Vn Time 14" xfId="496"/>
    <cellStyle name="vntxt1" xfId="499"/>
    <cellStyle name="vnhead1" xfId="497"/>
    <cellStyle name="vnhead3" xfId="498"/>
    <cellStyle name="Walutowy [0]_Invoices2001Slovakia" xfId="500"/>
    <cellStyle name="Walutowy_Invoices2001Slovakia" xfId="501"/>
    <cellStyle name="Warning Text 2" xfId="502"/>
    <cellStyle name="xan1" xfId="503"/>
    <cellStyle name="Xấu" xfId="504"/>
    <cellStyle name="xuan" xfId="505"/>
    <cellStyle name=" [0.00]_ Att. 1- Cover" xfId="506"/>
    <cellStyle name="_ Att. 1- Cover" xfId="507"/>
    <cellStyle name="?_ Att. 1- Cover" xfId="508"/>
    <cellStyle name="똿뗦먛귟 [0.00]_PRODUCT DETAIL Q1" xfId="509"/>
    <cellStyle name="똿뗦먛귟_PRODUCT DETAIL Q1" xfId="510"/>
    <cellStyle name="믅됞 [0.00]_PRODUCT DETAIL Q1" xfId="511"/>
    <cellStyle name="믅됞_PRODUCT DETAIL Q1" xfId="512"/>
    <cellStyle name="백분율_95" xfId="513"/>
    <cellStyle name="뷭?_BOOKSHIP" xfId="514"/>
    <cellStyle name="콤맀_Sheet1_총괄표 (수출입) (2)" xfId="515"/>
    <cellStyle name="콤마 [0]_1202" xfId="516"/>
    <cellStyle name="콤마_1202" xfId="517"/>
    <cellStyle name="통화 [0]_1202" xfId="518"/>
    <cellStyle name="통화_1202" xfId="519"/>
    <cellStyle name="표섀_변경(최종)" xfId="520"/>
    <cellStyle name="표준_(정보부문)월별인원계획" xfId="521"/>
    <cellStyle name="표줠_Sheet1_1_총괄표 (수출입) (2)" xfId="522"/>
    <cellStyle name="一般_00Q3902REV.1" xfId="523"/>
    <cellStyle name="千分位[0]_00Q3902REV.1" xfId="524"/>
    <cellStyle name="千分位_00Q3902REV.1" xfId="525"/>
    <cellStyle name="常规_GL ACM Master OCT08" xfId="526"/>
    <cellStyle name="桁区切り_工費" xfId="527"/>
    <cellStyle name="標準_2110-5" xfId="528"/>
    <cellStyle name="貨幣 [0]_00Q3902REV.1" xfId="529"/>
    <cellStyle name="貨幣[0]_BRE" xfId="530"/>
    <cellStyle name="貨幣_00Q3902REV.1" xfId="53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DFDFE0"/>
      <rgbColor rgb="00800000"/>
      <rgbColor rgb="00008000"/>
      <rgbColor rgb="00000080"/>
      <rgbColor rgb="007F7F80"/>
      <rgbColor rgb="00800080"/>
      <rgbColor rgb="00008080"/>
      <rgbColor rgb="00C0C0C0"/>
      <rgbColor rgb="00808080"/>
      <rgbColor rgb="007FB2FF"/>
      <rgbColor rgb="00993366"/>
      <rgbColor rgb="00FFFFCC"/>
      <rgbColor rgb="00CCFFFF"/>
      <rgbColor rgb="00660066"/>
      <rgbColor rgb="00FF8080"/>
      <rgbColor rgb="000066CC"/>
      <rgbColor rgb="00CCCCFF"/>
      <rgbColor rgb="00000080"/>
      <rgbColor rgb="00FF00FF"/>
      <rgbColor rgb="00FFC000"/>
      <rgbColor rgb="0000FFFF"/>
      <rgbColor rgb="00800080"/>
      <rgbColor rgb="00800000"/>
      <rgbColor rgb="00376092"/>
      <rgbColor rgb="000000FF"/>
      <rgbColor rgb="0000CCFF"/>
      <rgbColor rgb="00DF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433921</xdr:colOff>
      <xdr:row>2</xdr:row>
      <xdr:rowOff>42333</xdr:rowOff>
    </xdr:from>
    <xdr:to>
      <xdr:col>0</xdr:col>
      <xdr:colOff>1045921</xdr:colOff>
      <xdr:row>2</xdr:row>
      <xdr:rowOff>42333</xdr:rowOff>
    </xdr:to>
    <xdr:cxnSp macro="">
      <xdr:nvCxnSpPr>
        <xdr:cNvPr id="2" name="Straight Connector 1"/>
        <xdr:cNvCxnSpPr/>
      </xdr:nvCxnSpPr>
      <xdr:spPr bwMode="auto">
        <a:xfrm>
          <a:off x="433921" y="465666"/>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2326432</xdr:colOff>
      <xdr:row>5</xdr:row>
      <xdr:rowOff>35982</xdr:rowOff>
    </xdr:from>
    <xdr:to>
      <xdr:col>3</xdr:col>
      <xdr:colOff>294291</xdr:colOff>
      <xdr:row>5</xdr:row>
      <xdr:rowOff>35982</xdr:rowOff>
    </xdr:to>
    <xdr:cxnSp macro="">
      <xdr:nvCxnSpPr>
        <xdr:cNvPr id="3" name="Straight Connector 2"/>
        <xdr:cNvCxnSpPr/>
      </xdr:nvCxnSpPr>
      <xdr:spPr bwMode="auto">
        <a:xfrm>
          <a:off x="2326432" y="1420770"/>
          <a:ext cx="174855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2</xdr:row>
      <xdr:rowOff>28575</xdr:rowOff>
    </xdr:from>
    <xdr:to>
      <xdr:col>1</xdr:col>
      <xdr:colOff>802500</xdr:colOff>
      <xdr:row>2</xdr:row>
      <xdr:rowOff>28575</xdr:rowOff>
    </xdr:to>
    <xdr:cxnSp macro="">
      <xdr:nvCxnSpPr>
        <xdr:cNvPr id="3" name="Straight Connector 2"/>
        <xdr:cNvCxnSpPr/>
      </xdr:nvCxnSpPr>
      <xdr:spPr bwMode="auto">
        <a:xfrm flipV="1">
          <a:off x="523875" y="44767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2112639</xdr:colOff>
      <xdr:row>5</xdr:row>
      <xdr:rowOff>57150</xdr:rowOff>
    </xdr:from>
    <xdr:to>
      <xdr:col>1</xdr:col>
      <xdr:colOff>3700011</xdr:colOff>
      <xdr:row>5</xdr:row>
      <xdr:rowOff>57150</xdr:rowOff>
    </xdr:to>
    <xdr:cxnSp macro="">
      <xdr:nvCxnSpPr>
        <xdr:cNvPr id="4" name="Straight Connector 3"/>
        <xdr:cNvCxnSpPr/>
      </xdr:nvCxnSpPr>
      <xdr:spPr bwMode="auto">
        <a:xfrm flipV="1">
          <a:off x="2446014" y="1238250"/>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123825</xdr:colOff>
      <xdr:row>2</xdr:row>
      <xdr:rowOff>47625</xdr:rowOff>
    </xdr:from>
    <xdr:to>
      <xdr:col>1</xdr:col>
      <xdr:colOff>735825</xdr:colOff>
      <xdr:row>2</xdr:row>
      <xdr:rowOff>47625</xdr:rowOff>
    </xdr:to>
    <xdr:cxnSp macro="">
      <xdr:nvCxnSpPr>
        <xdr:cNvPr id="3" name="Straight Connector 2"/>
        <xdr:cNvCxnSpPr/>
      </xdr:nvCxnSpPr>
      <xdr:spPr bwMode="auto">
        <a:xfrm>
          <a:off x="447675" y="46672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2141214</xdr:colOff>
      <xdr:row>5</xdr:row>
      <xdr:rowOff>38100</xdr:rowOff>
    </xdr:from>
    <xdr:to>
      <xdr:col>4</xdr:col>
      <xdr:colOff>70986</xdr:colOff>
      <xdr:row>5</xdr:row>
      <xdr:rowOff>38100</xdr:rowOff>
    </xdr:to>
    <xdr:cxnSp macro="">
      <xdr:nvCxnSpPr>
        <xdr:cNvPr id="4" name="Straight Connector 3"/>
        <xdr:cNvCxnSpPr/>
      </xdr:nvCxnSpPr>
      <xdr:spPr bwMode="auto">
        <a:xfrm>
          <a:off x="2465064" y="1266825"/>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161925</xdr:colOff>
      <xdr:row>2</xdr:row>
      <xdr:rowOff>38100</xdr:rowOff>
    </xdr:from>
    <xdr:to>
      <xdr:col>1</xdr:col>
      <xdr:colOff>773925</xdr:colOff>
      <xdr:row>2</xdr:row>
      <xdr:rowOff>38100</xdr:rowOff>
    </xdr:to>
    <xdr:cxnSp macro="">
      <xdr:nvCxnSpPr>
        <xdr:cNvPr id="4" name="Straight Connector 3"/>
        <xdr:cNvCxnSpPr/>
      </xdr:nvCxnSpPr>
      <xdr:spPr bwMode="auto">
        <a:xfrm>
          <a:off x="523875" y="4572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1957071</xdr:colOff>
      <xdr:row>5</xdr:row>
      <xdr:rowOff>28575</xdr:rowOff>
    </xdr:from>
    <xdr:to>
      <xdr:col>2</xdr:col>
      <xdr:colOff>236080</xdr:colOff>
      <xdr:row>5</xdr:row>
      <xdr:rowOff>28575</xdr:rowOff>
    </xdr:to>
    <xdr:cxnSp macro="">
      <xdr:nvCxnSpPr>
        <xdr:cNvPr id="5" name="Straight Connector 4"/>
        <xdr:cNvCxnSpPr/>
      </xdr:nvCxnSpPr>
      <xdr:spPr bwMode="auto">
        <a:xfrm>
          <a:off x="2319021" y="1438275"/>
          <a:ext cx="174610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508002</xdr:colOff>
      <xdr:row>2</xdr:row>
      <xdr:rowOff>42333</xdr:rowOff>
    </xdr:from>
    <xdr:to>
      <xdr:col>0</xdr:col>
      <xdr:colOff>1120002</xdr:colOff>
      <xdr:row>2</xdr:row>
      <xdr:rowOff>42333</xdr:rowOff>
    </xdr:to>
    <xdr:cxnSp macro="">
      <xdr:nvCxnSpPr>
        <xdr:cNvPr id="3" name="Straight Connector 2"/>
        <xdr:cNvCxnSpPr/>
      </xdr:nvCxnSpPr>
      <xdr:spPr bwMode="auto">
        <a:xfrm>
          <a:off x="508002" y="465666"/>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2421682</xdr:colOff>
      <xdr:row>5</xdr:row>
      <xdr:rowOff>35982</xdr:rowOff>
    </xdr:from>
    <xdr:to>
      <xdr:col>3</xdr:col>
      <xdr:colOff>389541</xdr:colOff>
      <xdr:row>5</xdr:row>
      <xdr:rowOff>35982</xdr:rowOff>
    </xdr:to>
    <xdr:cxnSp macro="">
      <xdr:nvCxnSpPr>
        <xdr:cNvPr id="4" name="Straight Connector 3"/>
        <xdr:cNvCxnSpPr/>
      </xdr:nvCxnSpPr>
      <xdr:spPr bwMode="auto">
        <a:xfrm>
          <a:off x="2421682" y="1411815"/>
          <a:ext cx="174610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228599</xdr:colOff>
      <xdr:row>2</xdr:row>
      <xdr:rowOff>38100</xdr:rowOff>
    </xdr:from>
    <xdr:to>
      <xdr:col>1</xdr:col>
      <xdr:colOff>840599</xdr:colOff>
      <xdr:row>2</xdr:row>
      <xdr:rowOff>38100</xdr:rowOff>
    </xdr:to>
    <xdr:cxnSp macro="">
      <xdr:nvCxnSpPr>
        <xdr:cNvPr id="3" name="Straight Connector 2"/>
        <xdr:cNvCxnSpPr/>
      </xdr:nvCxnSpPr>
      <xdr:spPr bwMode="auto">
        <a:xfrm flipV="1">
          <a:off x="514349" y="4572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90169</xdr:colOff>
      <xdr:row>5</xdr:row>
      <xdr:rowOff>66675</xdr:rowOff>
    </xdr:from>
    <xdr:to>
      <xdr:col>6</xdr:col>
      <xdr:colOff>131305</xdr:colOff>
      <xdr:row>5</xdr:row>
      <xdr:rowOff>66675</xdr:rowOff>
    </xdr:to>
    <xdr:cxnSp macro="">
      <xdr:nvCxnSpPr>
        <xdr:cNvPr id="4" name="Straight Connector 3"/>
        <xdr:cNvCxnSpPr/>
      </xdr:nvCxnSpPr>
      <xdr:spPr bwMode="auto">
        <a:xfrm flipV="1">
          <a:off x="4004944" y="1619250"/>
          <a:ext cx="174611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244853</xdr:colOff>
      <xdr:row>2</xdr:row>
      <xdr:rowOff>53317</xdr:rowOff>
    </xdr:from>
    <xdr:to>
      <xdr:col>1</xdr:col>
      <xdr:colOff>856853</xdr:colOff>
      <xdr:row>2</xdr:row>
      <xdr:rowOff>53317</xdr:rowOff>
    </xdr:to>
    <xdr:cxnSp macro="">
      <xdr:nvCxnSpPr>
        <xdr:cNvPr id="3" name="Straight Connector 2"/>
        <xdr:cNvCxnSpPr/>
      </xdr:nvCxnSpPr>
      <xdr:spPr bwMode="auto">
        <a:xfrm>
          <a:off x="530603" y="481942"/>
          <a:ext cx="61200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374263</xdr:colOff>
      <xdr:row>5</xdr:row>
      <xdr:rowOff>57664</xdr:rowOff>
    </xdr:from>
    <xdr:to>
      <xdr:col>12</xdr:col>
      <xdr:colOff>33155</xdr:colOff>
      <xdr:row>5</xdr:row>
      <xdr:rowOff>57664</xdr:rowOff>
    </xdr:to>
    <xdr:cxnSp macro="">
      <xdr:nvCxnSpPr>
        <xdr:cNvPr id="4" name="Straight Connector 3"/>
        <xdr:cNvCxnSpPr/>
      </xdr:nvCxnSpPr>
      <xdr:spPr bwMode="auto">
        <a:xfrm>
          <a:off x="3934232" y="1391164"/>
          <a:ext cx="1730579"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287523</xdr:colOff>
      <xdr:row>2</xdr:row>
      <xdr:rowOff>41414</xdr:rowOff>
    </xdr:from>
    <xdr:to>
      <xdr:col>1</xdr:col>
      <xdr:colOff>899523</xdr:colOff>
      <xdr:row>2</xdr:row>
      <xdr:rowOff>41414</xdr:rowOff>
    </xdr:to>
    <xdr:cxnSp macro="">
      <xdr:nvCxnSpPr>
        <xdr:cNvPr id="3" name="Straight Connector 2"/>
        <xdr:cNvCxnSpPr/>
      </xdr:nvCxnSpPr>
      <xdr:spPr bwMode="auto">
        <a:xfrm>
          <a:off x="518844" y="449628"/>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463000</xdr:colOff>
      <xdr:row>5</xdr:row>
      <xdr:rowOff>45969</xdr:rowOff>
    </xdr:from>
    <xdr:to>
      <xdr:col>15</xdr:col>
      <xdr:colOff>84021</xdr:colOff>
      <xdr:row>5</xdr:row>
      <xdr:rowOff>45969</xdr:rowOff>
    </xdr:to>
    <xdr:cxnSp macro="">
      <xdr:nvCxnSpPr>
        <xdr:cNvPr id="4" name="Straight Connector 3"/>
        <xdr:cNvCxnSpPr/>
      </xdr:nvCxnSpPr>
      <xdr:spPr bwMode="auto">
        <a:xfrm>
          <a:off x="6186283" y="1271795"/>
          <a:ext cx="174965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R47"/>
  <sheetViews>
    <sheetView topLeftCell="A7" workbookViewId="0">
      <selection activeCell="H20" sqref="H20"/>
    </sheetView>
  </sheetViews>
  <sheetFormatPr defaultRowHeight="15.75"/>
  <cols>
    <col min="1" max="1" width="3.28515625" style="1" customWidth="1"/>
    <col min="2" max="2" width="31.140625" style="1" customWidth="1"/>
    <col min="3" max="3" width="12.85546875" style="1" customWidth="1"/>
    <col min="4" max="4" width="11.42578125" style="1" customWidth="1"/>
    <col min="5" max="5" width="11.140625" style="1" customWidth="1"/>
    <col min="6" max="6" width="11.28515625" style="1" customWidth="1"/>
    <col min="7" max="7" width="3.28515625" style="1" customWidth="1"/>
    <col min="8" max="8" width="28.7109375" style="1" customWidth="1"/>
    <col min="9" max="9" width="12.140625" style="1" customWidth="1"/>
    <col min="10" max="10" width="11.28515625" style="1" customWidth="1"/>
    <col min="11" max="11" width="11.140625" style="1" customWidth="1"/>
    <col min="12" max="12" width="9.5703125" style="1" customWidth="1"/>
    <col min="13" max="13" width="22.42578125" style="1" customWidth="1"/>
    <col min="14" max="14" width="14.140625" style="1" customWidth="1"/>
    <col min="15" max="15" width="9.28515625" style="1" customWidth="1"/>
    <col min="16" max="16" width="14.42578125" style="1" customWidth="1"/>
    <col min="17" max="17" width="9.28515625" style="1" customWidth="1"/>
    <col min="18" max="18" width="12.140625" style="1" customWidth="1"/>
    <col min="19" max="16384" width="9.140625" style="1"/>
  </cols>
  <sheetData>
    <row r="1" spans="1:18" ht="30" customHeight="1">
      <c r="A1" s="1" t="s">
        <v>36</v>
      </c>
      <c r="J1" s="2"/>
      <c r="K1" s="377"/>
      <c r="L1" s="482" t="s">
        <v>738</v>
      </c>
    </row>
    <row r="2" spans="1:18" ht="23.25" customHeight="1">
      <c r="A2" s="991" t="s">
        <v>37</v>
      </c>
      <c r="B2" s="991"/>
      <c r="C2" s="991"/>
      <c r="D2" s="991"/>
      <c r="E2" s="991"/>
      <c r="F2" s="991"/>
      <c r="G2" s="991"/>
      <c r="H2" s="991"/>
      <c r="I2" s="991"/>
      <c r="J2" s="991"/>
      <c r="K2" s="991"/>
      <c r="L2" s="991"/>
      <c r="M2" s="4"/>
    </row>
    <row r="3" spans="1:18" ht="22.5" customHeight="1">
      <c r="A3" s="5"/>
      <c r="B3" s="6"/>
      <c r="C3" s="6"/>
      <c r="D3" s="6"/>
      <c r="E3" s="6"/>
      <c r="F3" s="6"/>
      <c r="G3" s="6"/>
      <c r="H3" s="6"/>
      <c r="I3" s="6"/>
      <c r="J3" s="6"/>
      <c r="K3" s="6"/>
      <c r="L3" s="6"/>
      <c r="M3" s="1" t="s">
        <v>1312</v>
      </c>
    </row>
    <row r="4" spans="1:18" ht="23.25" customHeight="1">
      <c r="B4" s="7"/>
      <c r="C4" s="8"/>
      <c r="D4" s="7"/>
      <c r="E4" s="7"/>
      <c r="F4" s="7"/>
      <c r="H4" s="7"/>
      <c r="I4" s="7"/>
      <c r="J4" s="3"/>
      <c r="K4" s="3"/>
      <c r="L4" s="3" t="s">
        <v>38</v>
      </c>
    </row>
    <row r="5" spans="1:18">
      <c r="A5" s="992" t="s">
        <v>39</v>
      </c>
      <c r="B5" s="993" t="s">
        <v>40</v>
      </c>
      <c r="C5" s="9" t="s">
        <v>41</v>
      </c>
      <c r="D5" s="10" t="s">
        <v>42</v>
      </c>
      <c r="E5" s="10" t="s">
        <v>42</v>
      </c>
      <c r="F5" s="10" t="s">
        <v>42</v>
      </c>
      <c r="G5" s="992" t="s">
        <v>39</v>
      </c>
      <c r="H5" s="993" t="s">
        <v>43</v>
      </c>
      <c r="I5" s="9" t="s">
        <v>41</v>
      </c>
      <c r="J5" s="10" t="s">
        <v>44</v>
      </c>
      <c r="K5" s="10" t="s">
        <v>44</v>
      </c>
      <c r="L5" s="11" t="s">
        <v>44</v>
      </c>
      <c r="P5" s="1">
        <v>205638</v>
      </c>
      <c r="Q5" s="1">
        <f>+P5-58000</f>
        <v>147638</v>
      </c>
    </row>
    <row r="6" spans="1:18" ht="18" customHeight="1">
      <c r="A6" s="992"/>
      <c r="B6" s="993"/>
      <c r="C6" s="12" t="s">
        <v>45</v>
      </c>
      <c r="D6" s="13" t="s">
        <v>46</v>
      </c>
      <c r="E6" s="13" t="s">
        <v>47</v>
      </c>
      <c r="F6" s="14" t="s">
        <v>48</v>
      </c>
      <c r="G6" s="992"/>
      <c r="H6" s="993"/>
      <c r="I6" s="12" t="s">
        <v>45</v>
      </c>
      <c r="J6" s="13" t="s">
        <v>46</v>
      </c>
      <c r="K6" s="13" t="s">
        <v>47</v>
      </c>
      <c r="L6" s="15" t="s">
        <v>48</v>
      </c>
      <c r="M6" s="1">
        <v>216445.12283899999</v>
      </c>
    </row>
    <row r="7" spans="1:18" s="25" customFormat="1" ht="23.25" customHeight="1">
      <c r="A7" s="16"/>
      <c r="B7" s="17" t="s">
        <v>49</v>
      </c>
      <c r="C7" s="18">
        <f>D7+E7+F7</f>
        <v>14258679.493395999</v>
      </c>
      <c r="D7" s="18">
        <f>+D8+D27</f>
        <v>8867947.6147980001</v>
      </c>
      <c r="E7" s="18">
        <f>+E8+E27</f>
        <v>4387998.603162</v>
      </c>
      <c r="F7" s="19">
        <f>+F8+F27</f>
        <v>1002733.275436</v>
      </c>
      <c r="G7" s="20"/>
      <c r="H7" s="21" t="s">
        <v>50</v>
      </c>
      <c r="I7" s="22">
        <f>+I8+I27</f>
        <v>14015134.315698998</v>
      </c>
      <c r="J7" s="22">
        <f>+J8+J27</f>
        <v>8732801.7066129986</v>
      </c>
      <c r="K7" s="22">
        <f>+K8+K27</f>
        <v>4308035.3378630001</v>
      </c>
      <c r="L7" s="23">
        <f>+L8+L27</f>
        <v>974297.2712229999</v>
      </c>
      <c r="M7" s="24" t="e">
        <f>+D7-"#REF!"</f>
        <v>#VALUE!</v>
      </c>
      <c r="N7" s="24" t="e">
        <f>#N/A</f>
        <v>#N/A</v>
      </c>
      <c r="O7" s="25">
        <v>30000</v>
      </c>
      <c r="P7" s="24">
        <f>+I7+O7+Q5</f>
        <v>14192772.315698998</v>
      </c>
    </row>
    <row r="8" spans="1:18" s="25" customFormat="1" ht="24.75" customHeight="1">
      <c r="A8" s="26" t="s">
        <v>51</v>
      </c>
      <c r="B8" s="27" t="s">
        <v>52</v>
      </c>
      <c r="C8" s="28">
        <f>D8+E8+F8</f>
        <v>14258679.493395999</v>
      </c>
      <c r="D8" s="28">
        <f>SUM(D9:D16)+D20</f>
        <v>8867947.6147980001</v>
      </c>
      <c r="E8" s="28">
        <f>SUM(E9:E16)+E20</f>
        <v>4387998.603162</v>
      </c>
      <c r="F8" s="29">
        <f>SUM(F9:F16)+F20</f>
        <v>1002733.275436</v>
      </c>
      <c r="G8" s="30" t="s">
        <v>51</v>
      </c>
      <c r="H8" s="27" t="s">
        <v>665</v>
      </c>
      <c r="I8" s="28">
        <f>+J8+K8+L8</f>
        <v>13789004.189655999</v>
      </c>
      <c r="J8" s="28">
        <f>J9+J13+J14+J16+J17+J18+J15+J10</f>
        <v>8506671.5805699993</v>
      </c>
      <c r="K8" s="28">
        <f>K9+K13+K14+K16+K17+K18+K15</f>
        <v>4308035.3378630001</v>
      </c>
      <c r="L8" s="29">
        <f>+L9+L13+L14+L15+L16+L17+L18</f>
        <v>974297.2712229999</v>
      </c>
      <c r="M8" s="24">
        <f>+D8-J8</f>
        <v>361276.03422800079</v>
      </c>
      <c r="P8" s="24">
        <f>+C7-P7</f>
        <v>65907.177697001025</v>
      </c>
      <c r="Q8" s="25">
        <v>150000</v>
      </c>
      <c r="R8" s="24">
        <f>+Q8+P8</f>
        <v>215907.17769700103</v>
      </c>
    </row>
    <row r="9" spans="1:18">
      <c r="A9" s="31">
        <v>1</v>
      </c>
      <c r="B9" s="32" t="s">
        <v>53</v>
      </c>
      <c r="C9" s="33">
        <f>SUM(D9:F9)</f>
        <v>1548562.0072679997</v>
      </c>
      <c r="D9" s="33">
        <v>1138482.4235549998</v>
      </c>
      <c r="E9" s="33">
        <f>410079.583713-F9</f>
        <v>332616.91588500002</v>
      </c>
      <c r="F9" s="34">
        <v>77462.667828000005</v>
      </c>
      <c r="G9" s="35">
        <v>1</v>
      </c>
      <c r="H9" s="32" t="s">
        <v>54</v>
      </c>
      <c r="I9" s="33">
        <f>+J9+K9+L9</f>
        <v>1634663.0631699997</v>
      </c>
      <c r="J9" s="33">
        <v>1218591.318548</v>
      </c>
      <c r="K9" s="33">
        <v>308519.25172899995</v>
      </c>
      <c r="L9" s="34">
        <v>107552.492893</v>
      </c>
      <c r="N9" s="36">
        <f>+J9+J27</f>
        <v>1444721.444591</v>
      </c>
    </row>
    <row r="10" spans="1:18">
      <c r="A10" s="31">
        <v>2</v>
      </c>
      <c r="B10" s="32" t="s">
        <v>55</v>
      </c>
      <c r="C10" s="33">
        <f>SUM(D10:F10)</f>
        <v>2302786.502142</v>
      </c>
      <c r="D10" s="33">
        <v>2040166.493768</v>
      </c>
      <c r="E10" s="33">
        <v>262620.00837400003</v>
      </c>
      <c r="F10" s="34"/>
      <c r="G10" s="35">
        <v>2</v>
      </c>
      <c r="H10" s="32" t="s">
        <v>56</v>
      </c>
      <c r="I10" s="33">
        <f>+J10+K10+L10</f>
        <v>1132.3430000000001</v>
      </c>
      <c r="J10" s="33">
        <v>1132.3430000000001</v>
      </c>
      <c r="K10" s="33"/>
      <c r="L10" s="34"/>
      <c r="M10" s="1">
        <v>220274.37127999999</v>
      </c>
      <c r="N10" s="36">
        <f>+N9-1543535</f>
        <v>-98813.555409000022</v>
      </c>
    </row>
    <row r="11" spans="1:18" hidden="1">
      <c r="A11" s="31">
        <v>3</v>
      </c>
      <c r="B11" s="32" t="s">
        <v>57</v>
      </c>
      <c r="C11" s="33">
        <f>SUM(D11:F11)</f>
        <v>0</v>
      </c>
      <c r="D11" s="33"/>
      <c r="E11" s="33"/>
      <c r="F11" s="34"/>
      <c r="G11" s="35"/>
      <c r="H11" s="32" t="s">
        <v>58</v>
      </c>
      <c r="I11" s="33">
        <f>+J11+K11+L11</f>
        <v>0</v>
      </c>
      <c r="J11" s="33"/>
      <c r="K11" s="33"/>
      <c r="L11" s="34"/>
      <c r="M11" s="1">
        <v>222266.79728</v>
      </c>
      <c r="N11" s="36"/>
    </row>
    <row r="12" spans="1:18" hidden="1">
      <c r="A12" s="31">
        <v>4</v>
      </c>
      <c r="B12" s="32" t="s">
        <v>59</v>
      </c>
      <c r="C12" s="33"/>
      <c r="D12" s="33"/>
      <c r="E12" s="33"/>
      <c r="F12" s="34"/>
      <c r="G12" s="35"/>
      <c r="H12" s="32" t="s">
        <v>60</v>
      </c>
      <c r="I12" s="33">
        <f>+J12+K12+L12</f>
        <v>0</v>
      </c>
      <c r="J12" s="33"/>
      <c r="K12" s="33"/>
      <c r="L12" s="34"/>
      <c r="M12" s="4">
        <v>3179685.9635049999</v>
      </c>
    </row>
    <row r="13" spans="1:18">
      <c r="A13" s="31">
        <v>3</v>
      </c>
      <c r="B13" s="32" t="s">
        <v>61</v>
      </c>
      <c r="C13" s="33">
        <f t="shared" ref="C13:C17" si="0">SUM(D13:F13)</f>
        <v>63134.217701000001</v>
      </c>
      <c r="D13" s="33"/>
      <c r="E13" s="33">
        <v>47887.595966000001</v>
      </c>
      <c r="F13" s="34">
        <v>15246.621735000001</v>
      </c>
      <c r="G13" s="35">
        <v>3</v>
      </c>
      <c r="H13" s="32" t="s">
        <v>62</v>
      </c>
      <c r="I13" s="37">
        <f t="shared" ref="I13:I18" si="1">+J13+K13+L13</f>
        <v>5826674.0866430001</v>
      </c>
      <c r="J13" s="37">
        <v>2149702.5019509997</v>
      </c>
      <c r="K13" s="33">
        <v>2940133.1716049998</v>
      </c>
      <c r="L13" s="34">
        <v>736838.41308699991</v>
      </c>
    </row>
    <row r="14" spans="1:18">
      <c r="A14" s="31">
        <v>4</v>
      </c>
      <c r="B14" s="32" t="s">
        <v>63</v>
      </c>
      <c r="C14" s="33">
        <f t="shared" si="0"/>
        <v>988742.91058799997</v>
      </c>
      <c r="D14" s="33">
        <v>761269.25030700001</v>
      </c>
      <c r="E14" s="33">
        <v>208973.69497300001</v>
      </c>
      <c r="F14" s="34">
        <v>18499.965307999999</v>
      </c>
      <c r="G14" s="35">
        <v>4</v>
      </c>
      <c r="H14" s="32" t="s">
        <v>64</v>
      </c>
      <c r="I14" s="33">
        <f t="shared" si="1"/>
        <v>1000</v>
      </c>
      <c r="J14" s="33">
        <v>1000</v>
      </c>
      <c r="K14" s="33"/>
      <c r="L14" s="34"/>
    </row>
    <row r="15" spans="1:18">
      <c r="A15" s="31">
        <v>5</v>
      </c>
      <c r="B15" s="32" t="s">
        <v>65</v>
      </c>
      <c r="C15" s="33">
        <f t="shared" si="0"/>
        <v>515.46299999999997</v>
      </c>
      <c r="D15" s="33">
        <v>217.46299999999999</v>
      </c>
      <c r="E15" s="33">
        <v>298</v>
      </c>
      <c r="F15" s="34"/>
      <c r="G15" s="35">
        <v>5</v>
      </c>
      <c r="H15" s="32" t="s">
        <v>66</v>
      </c>
      <c r="I15" s="33">
        <f t="shared" si="1"/>
        <v>844435.173159</v>
      </c>
      <c r="J15" s="33">
        <v>735330.57128200005</v>
      </c>
      <c r="K15" s="33">
        <v>18772.600730999999</v>
      </c>
      <c r="L15" s="34">
        <v>90332.001145999995</v>
      </c>
      <c r="M15" s="36">
        <v>2093720983547</v>
      </c>
    </row>
    <row r="16" spans="1:18">
      <c r="A16" s="31">
        <v>6</v>
      </c>
      <c r="B16" s="32" t="s">
        <v>67</v>
      </c>
      <c r="C16" s="33">
        <f t="shared" si="0"/>
        <v>9329095.7936500013</v>
      </c>
      <c r="D16" s="33">
        <f>+D17+D18+D19</f>
        <v>4927386.9841680005</v>
      </c>
      <c r="E16" s="33">
        <f>+E17+E18</f>
        <v>3529828.5199640002</v>
      </c>
      <c r="F16" s="34">
        <f>+F17+F18</f>
        <v>871880.28951799998</v>
      </c>
      <c r="G16" s="35">
        <v>6</v>
      </c>
      <c r="H16" s="32" t="s">
        <v>68</v>
      </c>
      <c r="I16" s="33">
        <f t="shared" si="1"/>
        <v>4401708.8094819998</v>
      </c>
      <c r="J16" s="33">
        <v>3529828.5199640002</v>
      </c>
      <c r="K16" s="33">
        <v>871880.28951799998</v>
      </c>
      <c r="L16" s="34"/>
      <c r="M16" s="1">
        <v>735330.57</v>
      </c>
      <c r="N16" s="1">
        <f>379027/2</f>
        <v>189513.5</v>
      </c>
      <c r="O16" s="1">
        <v>150000</v>
      </c>
      <c r="P16" s="1">
        <f>+N16-O16</f>
        <v>39513.5</v>
      </c>
      <c r="Q16" s="1">
        <v>379027</v>
      </c>
      <c r="R16" s="1">
        <f>+Q16-O16</f>
        <v>229027</v>
      </c>
    </row>
    <row r="17" spans="1:14">
      <c r="A17" s="31"/>
      <c r="B17" s="32" t="s">
        <v>69</v>
      </c>
      <c r="C17" s="33">
        <f t="shared" si="0"/>
        <v>6217781.6362659996</v>
      </c>
      <c r="D17" s="33">
        <v>3196428</v>
      </c>
      <c r="E17" s="33">
        <v>2463207</v>
      </c>
      <c r="F17" s="34">
        <v>558146.63626599999</v>
      </c>
      <c r="G17" s="35">
        <v>7</v>
      </c>
      <c r="H17" s="32" t="s">
        <v>70</v>
      </c>
      <c r="I17" s="33">
        <f>+J17+K17+L17</f>
        <v>1076220.2512020001</v>
      </c>
      <c r="J17" s="33">
        <v>868431.32582499995</v>
      </c>
      <c r="K17" s="33">
        <v>168512.56127999999</v>
      </c>
      <c r="L17" s="34">
        <v>39276.364096999998</v>
      </c>
      <c r="M17" s="36">
        <f>+M16-J15</f>
        <v>-1.2820000993087888E-3</v>
      </c>
    </row>
    <row r="18" spans="1:14">
      <c r="A18" s="38"/>
      <c r="B18" s="32" t="s">
        <v>71</v>
      </c>
      <c r="C18" s="33">
        <f>SUM(D18:F18)</f>
        <v>2837714.1573839998</v>
      </c>
      <c r="D18" s="33">
        <f>1667548.984168-D19+63410</f>
        <v>1457358.9841680001</v>
      </c>
      <c r="E18" s="33">
        <v>1066621.519964</v>
      </c>
      <c r="F18" s="34">
        <v>313733.65325199999</v>
      </c>
      <c r="G18" s="39">
        <v>8</v>
      </c>
      <c r="H18" s="40" t="s">
        <v>72</v>
      </c>
      <c r="I18" s="41">
        <f t="shared" si="1"/>
        <v>3170.4630000000002</v>
      </c>
      <c r="J18" s="41">
        <v>2655</v>
      </c>
      <c r="K18" s="41">
        <v>217.46299999999999</v>
      </c>
      <c r="L18" s="42">
        <v>298</v>
      </c>
    </row>
    <row r="19" spans="1:14">
      <c r="A19" s="38"/>
      <c r="B19" s="494" t="s">
        <v>747</v>
      </c>
      <c r="C19" s="33">
        <f>SUM(D19:F19)</f>
        <v>273600</v>
      </c>
      <c r="D19" s="33">
        <v>273600</v>
      </c>
      <c r="E19" s="33"/>
      <c r="F19" s="34"/>
      <c r="G19" s="490"/>
      <c r="H19" s="491"/>
      <c r="I19" s="492"/>
      <c r="J19" s="492"/>
      <c r="K19" s="492"/>
      <c r="L19" s="493"/>
    </row>
    <row r="20" spans="1:14" ht="25.5">
      <c r="A20" s="43">
        <v>7</v>
      </c>
      <c r="B20" s="40" t="s">
        <v>73</v>
      </c>
      <c r="C20" s="41">
        <f>+D20+E20+F20</f>
        <v>25842.599047000003</v>
      </c>
      <c r="D20" s="41">
        <v>425</v>
      </c>
      <c r="E20" s="41">
        <v>5773.8680000000004</v>
      </c>
      <c r="F20" s="42">
        <v>19643.731047000001</v>
      </c>
      <c r="G20" s="44"/>
      <c r="H20" s="45"/>
      <c r="I20" s="45"/>
      <c r="J20" s="45"/>
      <c r="K20" s="45"/>
      <c r="L20" s="46"/>
      <c r="M20" s="36">
        <f>+K17+L17</f>
        <v>207788.92537700001</v>
      </c>
    </row>
    <row r="21" spans="1:14" s="25" customFormat="1" hidden="1"/>
    <row r="22" spans="1:14" hidden="1">
      <c r="A22" s="38"/>
      <c r="B22" s="32"/>
      <c r="C22" s="33"/>
      <c r="D22" s="33"/>
      <c r="E22" s="33"/>
      <c r="F22" s="34"/>
      <c r="G22" s="35"/>
      <c r="H22" s="32"/>
      <c r="I22" s="33"/>
      <c r="J22" s="33"/>
      <c r="K22" s="33"/>
      <c r="L22" s="34"/>
    </row>
    <row r="23" spans="1:14">
      <c r="A23" s="47"/>
      <c r="B23" s="48" t="s">
        <v>74</v>
      </c>
      <c r="C23" s="49">
        <f>SUM(D23:F23)</f>
        <v>243545.17769700137</v>
      </c>
      <c r="D23" s="49">
        <f>+D7-J7</f>
        <v>135145.90818500146</v>
      </c>
      <c r="E23" s="49">
        <f>+E7-K7</f>
        <v>79963.265298999846</v>
      </c>
      <c r="F23" s="50">
        <f>+F7-L7</f>
        <v>28436.004213000066</v>
      </c>
      <c r="G23" s="51"/>
      <c r="H23" s="52"/>
      <c r="I23" s="53"/>
      <c r="J23" s="53"/>
      <c r="K23" s="53"/>
      <c r="L23" s="54"/>
      <c r="M23" s="36">
        <f>+E23+F23</f>
        <v>108399.26951199991</v>
      </c>
      <c r="N23" s="1">
        <v>205638</v>
      </c>
    </row>
    <row r="24" spans="1:14" hidden="1">
      <c r="A24" s="55"/>
      <c r="B24" s="56" t="s">
        <v>75</v>
      </c>
      <c r="C24" s="57"/>
      <c r="D24" s="57"/>
      <c r="E24" s="57"/>
      <c r="F24" s="58"/>
      <c r="G24" s="51"/>
      <c r="H24" s="52"/>
      <c r="I24" s="53"/>
      <c r="J24" s="53"/>
      <c r="K24" s="53"/>
      <c r="L24" s="54"/>
      <c r="M24" s="36"/>
    </row>
    <row r="25" spans="1:14" s="69" customFormat="1" hidden="1">
      <c r="A25" s="59"/>
      <c r="B25" s="60" t="s">
        <v>76</v>
      </c>
      <c r="C25" s="61"/>
      <c r="D25" s="62">
        <f>+D23-D26</f>
        <v>-27355.091814998537</v>
      </c>
      <c r="E25" s="61"/>
      <c r="F25" s="63"/>
      <c r="G25" s="64"/>
      <c r="H25" s="65"/>
      <c r="I25" s="66"/>
      <c r="J25" s="66"/>
      <c r="K25" s="66"/>
      <c r="L25" s="67"/>
      <c r="M25" s="68"/>
      <c r="N25" s="68">
        <f>+I9+I17+I27</f>
        <v>2937013.4404149996</v>
      </c>
    </row>
    <row r="26" spans="1:14" s="79" customFormat="1" ht="25.5" hidden="1">
      <c r="A26" s="70"/>
      <c r="B26" s="60" t="s">
        <v>748</v>
      </c>
      <c r="C26" s="71"/>
      <c r="D26" s="72">
        <v>162501</v>
      </c>
      <c r="E26" s="71"/>
      <c r="F26" s="73"/>
      <c r="G26" s="74"/>
      <c r="H26" s="75"/>
      <c r="I26" s="76"/>
      <c r="J26" s="76"/>
      <c r="K26" s="76"/>
      <c r="L26" s="77"/>
      <c r="M26" s="78"/>
    </row>
    <row r="27" spans="1:14">
      <c r="A27" s="80" t="s">
        <v>77</v>
      </c>
      <c r="B27" s="81" t="s">
        <v>78</v>
      </c>
      <c r="C27" s="82">
        <f>+D27+E27+F27</f>
        <v>0</v>
      </c>
      <c r="D27" s="82"/>
      <c r="E27" s="82"/>
      <c r="F27" s="83"/>
      <c r="G27" s="84" t="s">
        <v>77</v>
      </c>
      <c r="H27" s="85" t="s">
        <v>79</v>
      </c>
      <c r="I27" s="82">
        <f>SUM(J27:L27)</f>
        <v>226130.12604299997</v>
      </c>
      <c r="J27" s="82">
        <f>246730.8747+3630.126-24230.874657</f>
        <v>226130.12604299997</v>
      </c>
      <c r="K27" s="82"/>
      <c r="L27" s="83"/>
    </row>
    <row r="28" spans="1:14" ht="22.5" customHeight="1">
      <c r="A28" s="86"/>
      <c r="B28" s="558" t="s">
        <v>1313</v>
      </c>
      <c r="C28" s="87"/>
      <c r="D28" s="8"/>
      <c r="E28" s="7"/>
      <c r="F28" s="7"/>
      <c r="G28" s="6"/>
      <c r="I28" s="87"/>
      <c r="J28" s="7"/>
      <c r="K28" s="7"/>
      <c r="L28" s="7"/>
      <c r="M28" s="1">
        <v>8482.8799999999992</v>
      </c>
    </row>
    <row r="29" spans="1:14" ht="15" customHeight="1">
      <c r="A29" s="88"/>
      <c r="B29" s="89" t="s">
        <v>659</v>
      </c>
      <c r="C29" s="90"/>
      <c r="D29" s="8"/>
      <c r="E29" s="7"/>
      <c r="F29" s="91" t="s">
        <v>660</v>
      </c>
      <c r="G29" s="6"/>
      <c r="I29" s="90"/>
      <c r="J29" s="91" t="s">
        <v>661</v>
      </c>
      <c r="K29" s="7"/>
      <c r="L29" s="7"/>
      <c r="M29" s="1">
        <v>44171.745375999999</v>
      </c>
    </row>
    <row r="30" spans="1:14" ht="15.75" customHeight="1">
      <c r="A30" s="88"/>
      <c r="B30" s="92" t="s">
        <v>80</v>
      </c>
      <c r="C30" s="90"/>
      <c r="D30" s="8"/>
      <c r="E30" s="7"/>
      <c r="F30" s="93" t="s">
        <v>81</v>
      </c>
      <c r="G30" s="6"/>
      <c r="I30" s="90"/>
      <c r="J30" s="93" t="s">
        <v>82</v>
      </c>
      <c r="K30" s="7"/>
      <c r="L30" s="7"/>
      <c r="M30" s="36">
        <f>+J17+M29</f>
        <v>912603.0712009999</v>
      </c>
    </row>
    <row r="31" spans="1:14" ht="15" customHeight="1">
      <c r="A31" s="88"/>
      <c r="B31" s="94"/>
      <c r="C31" s="90"/>
      <c r="D31" s="8"/>
      <c r="E31" s="7"/>
      <c r="F31" s="7"/>
      <c r="G31" s="6"/>
      <c r="I31" s="90"/>
      <c r="J31" s="93" t="s">
        <v>83</v>
      </c>
      <c r="K31" s="7"/>
      <c r="L31" s="7"/>
      <c r="M31" s="7">
        <v>833784409269</v>
      </c>
    </row>
    <row r="32" spans="1:14" ht="22.5" customHeight="1">
      <c r="A32" s="88"/>
      <c r="B32" s="537">
        <v>1667548984168</v>
      </c>
      <c r="C32" s="90"/>
      <c r="D32" s="95">
        <f>+E9+F9</f>
        <v>410079.58371300006</v>
      </c>
      <c r="E32" s="7"/>
      <c r="F32" s="7"/>
      <c r="G32" s="6"/>
      <c r="H32" s="36">
        <f>'TH CHI_62_342_51_52_53_31'!E98</f>
        <v>14015134.315655999</v>
      </c>
      <c r="I32" s="90"/>
      <c r="J32" s="7"/>
      <c r="K32" s="7"/>
      <c r="L32" s="7"/>
    </row>
    <row r="33" spans="1:13">
      <c r="A33" s="88"/>
      <c r="B33" s="88"/>
      <c r="C33" s="484">
        <v>4860762.9841680005</v>
      </c>
      <c r="D33" s="7"/>
      <c r="E33" s="7"/>
      <c r="F33" s="88"/>
      <c r="G33" s="6"/>
      <c r="H33" s="36">
        <f>I7-H32</f>
        <v>4.2999163269996643E-5</v>
      </c>
      <c r="J33" s="88" t="s">
        <v>84</v>
      </c>
      <c r="K33" s="7"/>
      <c r="L33" s="7"/>
      <c r="M33" s="1">
        <v>14000</v>
      </c>
    </row>
    <row r="34" spans="1:13" s="98" customFormat="1">
      <c r="A34" s="96"/>
      <c r="B34" s="96" t="s">
        <v>85</v>
      </c>
      <c r="C34" s="485">
        <f>D16-C33</f>
        <v>66624</v>
      </c>
      <c r="D34" s="97"/>
      <c r="E34" s="97"/>
      <c r="F34" s="93"/>
      <c r="G34" s="96"/>
      <c r="J34" s="93" t="s">
        <v>86</v>
      </c>
      <c r="K34" s="97"/>
      <c r="L34" s="97"/>
      <c r="M34" s="98">
        <f>+M33-M28</f>
        <v>5517.1200000000008</v>
      </c>
    </row>
    <row r="35" spans="1:13" s="98" customFormat="1">
      <c r="A35" s="96"/>
      <c r="B35" s="99">
        <f>+C23-B37</f>
        <v>-532969.03651699761</v>
      </c>
      <c r="C35" s="96">
        <v>214782.003185999</v>
      </c>
      <c r="D35" s="97">
        <v>668114.94470199943</v>
      </c>
      <c r="E35" s="100">
        <f>+D23-D35</f>
        <v>-532969.03651699796</v>
      </c>
      <c r="F35" s="93"/>
      <c r="G35" s="96"/>
      <c r="J35" s="93"/>
      <c r="K35" s="97"/>
      <c r="L35" s="97"/>
    </row>
    <row r="36" spans="1:13" s="98" customFormat="1">
      <c r="A36" s="96"/>
      <c r="B36" s="96">
        <v>338390.78388499998</v>
      </c>
      <c r="C36" s="485">
        <f>C23-C35</f>
        <v>28763.174511002377</v>
      </c>
      <c r="D36" s="97"/>
      <c r="E36" s="97"/>
      <c r="F36" s="93"/>
      <c r="G36" s="96"/>
      <c r="I36" s="101">
        <f>+J10+J27</f>
        <v>227262.46904299996</v>
      </c>
      <c r="J36" s="93"/>
      <c r="K36" s="97"/>
      <c r="L36" s="97"/>
    </row>
    <row r="37" spans="1:13" s="98" customFormat="1">
      <c r="A37" s="96"/>
      <c r="B37" s="96">
        <v>776514.21421399899</v>
      </c>
      <c r="C37" s="487">
        <f>'TH THU_61_342_50_31'!F8+'TH THU_61_342_50_31'!G8+'TH THU_61_342_50_31'!H8</f>
        <v>14258679.493396001</v>
      </c>
      <c r="D37" s="97"/>
      <c r="E37" s="97"/>
      <c r="F37" s="93"/>
      <c r="G37" s="96"/>
      <c r="J37" s="93"/>
      <c r="K37" s="97"/>
      <c r="L37" s="97"/>
    </row>
    <row r="38" spans="1:13" s="98" customFormat="1">
      <c r="A38" s="96"/>
      <c r="B38" s="96"/>
      <c r="C38" s="485">
        <f>C7-C37</f>
        <v>0</v>
      </c>
      <c r="D38" s="97"/>
      <c r="E38" s="97"/>
      <c r="F38" s="93"/>
      <c r="G38" s="96"/>
      <c r="J38" s="93"/>
      <c r="K38" s="97"/>
      <c r="L38" s="97"/>
    </row>
    <row r="39" spans="1:13">
      <c r="A39" s="6"/>
      <c r="B39" s="96" t="s">
        <v>87</v>
      </c>
      <c r="C39" s="36"/>
      <c r="D39" s="7"/>
      <c r="E39" s="7"/>
      <c r="F39" s="7"/>
      <c r="G39" s="6"/>
      <c r="I39" s="990"/>
      <c r="J39" s="990"/>
      <c r="K39" s="990"/>
      <c r="L39" s="7"/>
    </row>
    <row r="40" spans="1:13">
      <c r="B40" s="7">
        <v>9326307767</v>
      </c>
      <c r="C40" s="36"/>
      <c r="G40" s="6"/>
      <c r="M40" s="33">
        <f>287180.488582+37667.779756+65018+488732</f>
        <v>878598.26833800005</v>
      </c>
    </row>
    <row r="41" spans="1:13">
      <c r="B41" s="1">
        <v>24410808250</v>
      </c>
      <c r="C41" s="1">
        <v>425</v>
      </c>
      <c r="D41" s="36">
        <v>6638.0820000000003</v>
      </c>
      <c r="E41" s="1">
        <v>21690.991047</v>
      </c>
      <c r="G41" s="6"/>
    </row>
    <row r="42" spans="1:13">
      <c r="B42" s="102">
        <f>+B41-B40</f>
        <v>15084500483</v>
      </c>
      <c r="C42" s="103">
        <f>+C41+D7</f>
        <v>8868372.6147980001</v>
      </c>
      <c r="D42" s="103">
        <f>+D41+E7</f>
        <v>4394636.6851620004</v>
      </c>
      <c r="E42" s="103">
        <f>+E41+F7</f>
        <v>1024424.266483</v>
      </c>
      <c r="G42" s="6"/>
      <c r="H42" s="36"/>
      <c r="I42" s="1" t="s">
        <v>88</v>
      </c>
    </row>
    <row r="43" spans="1:13">
      <c r="B43" s="1">
        <v>13925313.673157999</v>
      </c>
      <c r="C43" s="1" t="s">
        <v>89</v>
      </c>
      <c r="I43" s="104">
        <f>+J7-J17</f>
        <v>7864370.3807879984</v>
      </c>
    </row>
    <row r="44" spans="1:13">
      <c r="B44" s="36">
        <f>+C7</f>
        <v>14258679.493395999</v>
      </c>
      <c r="C44" s="1" t="s">
        <v>90</v>
      </c>
      <c r="D44" s="7"/>
    </row>
    <row r="45" spans="1:13">
      <c r="B45" s="36">
        <f>+B43-B44</f>
        <v>-333365.82023799978</v>
      </c>
      <c r="C45" s="1" t="s">
        <v>91</v>
      </c>
      <c r="E45" s="36"/>
    </row>
    <row r="46" spans="1:13">
      <c r="B46" s="1">
        <v>323296.52944499999</v>
      </c>
    </row>
    <row r="47" spans="1:13">
      <c r="B47" s="36">
        <f>+B45-B46</f>
        <v>-656662.34968299977</v>
      </c>
    </row>
  </sheetData>
  <sheetProtection selectLockedCells="1" selectUnlockedCells="1"/>
  <mergeCells count="6">
    <mergeCell ref="I39:K39"/>
    <mergeCell ref="A2:L2"/>
    <mergeCell ref="A5:A6"/>
    <mergeCell ref="B5:B6"/>
    <mergeCell ref="G5:G6"/>
    <mergeCell ref="H5:H6"/>
  </mergeCells>
  <phoneticPr fontId="160" type="noConversion"/>
  <pageMargins left="0.25" right="0" top="0.25" bottom="0" header="0.51180555555555551" footer="0.51180555555555551"/>
  <pageSetup paperSize="9" scale="90" firstPageNumber="0" orientation="landscape"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8"/>
  <sheetViews>
    <sheetView zoomScale="80" zoomScaleNormal="80" workbookViewId="0">
      <selection activeCell="AQ7" sqref="AQ7"/>
    </sheetView>
  </sheetViews>
  <sheetFormatPr defaultColWidth="13.140625" defaultRowHeight="16.5"/>
  <cols>
    <col min="1" max="1" width="4.28515625" style="337" customWidth="1"/>
    <col min="2" max="2" width="17.5703125" style="337" customWidth="1"/>
    <col min="3" max="3" width="8.42578125" style="337" customWidth="1"/>
    <col min="4" max="4" width="8.28515625" style="337" customWidth="1"/>
    <col min="5" max="5" width="7.7109375" style="337" customWidth="1"/>
    <col min="6" max="6" width="13.140625" style="337" hidden="1" customWidth="1"/>
    <col min="7" max="7" width="7.28515625" style="337" customWidth="1"/>
    <col min="8" max="8" width="7.140625" style="337" customWidth="1"/>
    <col min="9" max="9" width="5.7109375" style="337" customWidth="1"/>
    <col min="10" max="10" width="9.140625" style="337" customWidth="1"/>
    <col min="11" max="11" width="10.140625" style="337" hidden="1" customWidth="1"/>
    <col min="12" max="12" width="9.140625" style="337" customWidth="1"/>
    <col min="13" max="13" width="8.28515625" style="337" customWidth="1"/>
    <col min="14" max="14" width="12.85546875" style="337" hidden="1" customWidth="1"/>
    <col min="15" max="15" width="10.7109375" style="337" hidden="1" customWidth="1"/>
    <col min="16" max="16" width="9.140625" style="337" hidden="1" customWidth="1"/>
    <col min="17" max="17" width="8.28515625" style="337" hidden="1" customWidth="1"/>
    <col min="18" max="18" width="9.5703125" style="337" hidden="1" customWidth="1"/>
    <col min="19" max="19" width="13" style="337" hidden="1" customWidth="1"/>
    <col min="20" max="22" width="8.28515625" style="337" hidden="1" customWidth="1"/>
    <col min="23" max="23" width="9.42578125" style="337" customWidth="1"/>
    <col min="24" max="24" width="11.5703125" style="337" hidden="1" customWidth="1"/>
    <col min="25" max="25" width="9" style="337" customWidth="1"/>
    <col min="26" max="27" width="9.28515625" style="337" hidden="1" customWidth="1"/>
    <col min="28" max="28" width="19.5703125" style="337" hidden="1" customWidth="1"/>
    <col min="29" max="35" width="9.28515625" style="337" hidden="1" customWidth="1"/>
    <col min="36" max="36" width="8.140625" style="337" hidden="1" customWidth="1"/>
    <col min="37" max="37" width="7.42578125" style="337" customWidth="1"/>
    <col min="38" max="38" width="7.28515625" style="337" customWidth="1"/>
    <col min="39" max="39" width="8.140625" style="337" customWidth="1"/>
    <col min="40" max="40" width="10.28515625" style="337" hidden="1" customWidth="1"/>
    <col min="41" max="41" width="7.140625" style="337" customWidth="1"/>
    <col min="42" max="16384" width="13.140625" style="337"/>
  </cols>
  <sheetData>
    <row r="1" spans="1:41" s="839" customFormat="1" ht="17.100000000000001" customHeight="1">
      <c r="A1" s="835" t="s">
        <v>1355</v>
      </c>
      <c r="B1" s="836"/>
      <c r="AL1" s="1027" t="s">
        <v>1446</v>
      </c>
      <c r="AM1" s="1027"/>
      <c r="AN1" s="1027"/>
      <c r="AO1" s="1027"/>
    </row>
    <row r="2" spans="1:41" s="839" customFormat="1" ht="17.100000000000001" customHeight="1">
      <c r="A2" s="835" t="s">
        <v>1360</v>
      </c>
      <c r="B2" s="837"/>
    </row>
    <row r="3" spans="1:41" ht="33.75" customHeight="1">
      <c r="A3" s="556"/>
      <c r="B3" s="555"/>
      <c r="C3" s="338"/>
      <c r="D3" s="338"/>
      <c r="E3" s="338"/>
      <c r="F3" s="338"/>
      <c r="G3" s="338"/>
      <c r="H3" s="338"/>
      <c r="I3" s="338"/>
      <c r="J3" s="338"/>
      <c r="K3" s="338"/>
      <c r="L3" s="338"/>
      <c r="M3" s="338"/>
      <c r="N3" s="338"/>
      <c r="O3" s="338"/>
      <c r="P3" s="338"/>
      <c r="Q3" s="338"/>
      <c r="R3" s="338"/>
      <c r="S3" s="338"/>
      <c r="T3" s="338"/>
      <c r="U3" s="338"/>
      <c r="V3" s="338"/>
      <c r="W3" s="338"/>
      <c r="X3" s="338"/>
      <c r="Y3" s="339"/>
      <c r="Z3" s="339"/>
      <c r="AA3" s="339"/>
      <c r="AB3" s="339"/>
      <c r="AC3" s="339"/>
      <c r="AD3" s="339"/>
      <c r="AE3" s="339"/>
      <c r="AF3" s="339"/>
      <c r="AG3" s="339"/>
      <c r="AH3" s="339"/>
      <c r="AI3" s="339"/>
      <c r="AJ3" s="339"/>
      <c r="AK3" s="339"/>
    </row>
    <row r="4" spans="1:41" ht="23.25" customHeight="1">
      <c r="A4" s="1028" t="s">
        <v>1447</v>
      </c>
      <c r="B4" s="1028"/>
      <c r="C4" s="1028"/>
      <c r="D4" s="1028"/>
      <c r="E4" s="1028"/>
      <c r="F4" s="1028"/>
      <c r="G4" s="1028"/>
      <c r="H4" s="1028"/>
      <c r="I4" s="1028"/>
      <c r="J4" s="1028"/>
      <c r="K4" s="1028"/>
      <c r="L4" s="1028"/>
      <c r="M4" s="1028"/>
      <c r="N4" s="1028"/>
      <c r="O4" s="1028"/>
      <c r="P4" s="1028"/>
      <c r="Q4" s="1028"/>
      <c r="R4" s="1028"/>
      <c r="S4" s="1028"/>
      <c r="T4" s="1028"/>
      <c r="U4" s="1028"/>
      <c r="V4" s="1028"/>
      <c r="W4" s="1028"/>
      <c r="X4" s="1028"/>
      <c r="Y4" s="1028"/>
      <c r="Z4" s="1028"/>
      <c r="AA4" s="1028"/>
      <c r="AB4" s="1028"/>
      <c r="AC4" s="1028"/>
      <c r="AD4" s="1028"/>
      <c r="AE4" s="1028"/>
      <c r="AF4" s="1028"/>
      <c r="AG4" s="1028"/>
      <c r="AH4" s="1028"/>
      <c r="AI4" s="1028"/>
      <c r="AJ4" s="1028"/>
      <c r="AK4" s="1028"/>
      <c r="AL4" s="1028"/>
      <c r="AM4" s="1028"/>
      <c r="AN4" s="1028"/>
      <c r="AO4" s="1028"/>
    </row>
    <row r="5" spans="1:41" ht="22.5" customHeight="1">
      <c r="A5" s="1029" t="s">
        <v>1445</v>
      </c>
      <c r="B5" s="1029"/>
      <c r="C5" s="1029"/>
      <c r="D5" s="1029"/>
      <c r="E5" s="1029"/>
      <c r="F5" s="1029"/>
      <c r="G5" s="1029"/>
      <c r="H5" s="1029"/>
      <c r="I5" s="1029"/>
      <c r="J5" s="1029"/>
      <c r="K5" s="1029"/>
      <c r="L5" s="1029"/>
      <c r="M5" s="1029"/>
      <c r="N5" s="1029"/>
      <c r="O5" s="1029"/>
      <c r="P5" s="1029"/>
      <c r="Q5" s="1029"/>
      <c r="R5" s="1029"/>
      <c r="S5" s="1029"/>
      <c r="T5" s="1029"/>
      <c r="U5" s="1029"/>
      <c r="V5" s="1029"/>
      <c r="W5" s="1029"/>
      <c r="X5" s="1029"/>
      <c r="Y5" s="1029"/>
      <c r="Z5" s="1029"/>
      <c r="AA5" s="1029"/>
      <c r="AB5" s="1029"/>
      <c r="AC5" s="1029"/>
      <c r="AD5" s="1029"/>
      <c r="AE5" s="1029"/>
      <c r="AF5" s="1029"/>
      <c r="AG5" s="1029"/>
      <c r="AH5" s="1029"/>
      <c r="AI5" s="1029"/>
      <c r="AJ5" s="1029"/>
      <c r="AK5" s="1029"/>
      <c r="AL5" s="1029"/>
      <c r="AM5" s="1029"/>
      <c r="AN5" s="1029"/>
      <c r="AO5" s="1029"/>
    </row>
    <row r="6" spans="1:41" ht="22.5" customHeight="1">
      <c r="A6" s="838"/>
      <c r="B6" s="838"/>
      <c r="C6" s="838"/>
      <c r="D6" s="838"/>
      <c r="E6" s="838"/>
      <c r="F6" s="838"/>
      <c r="G6" s="838"/>
      <c r="H6" s="838"/>
      <c r="I6" s="838"/>
      <c r="J6" s="838"/>
      <c r="K6" s="838"/>
      <c r="L6" s="838"/>
      <c r="M6" s="838"/>
      <c r="N6" s="838"/>
      <c r="O6" s="838"/>
      <c r="P6" s="838"/>
      <c r="Q6" s="838"/>
      <c r="R6" s="838"/>
      <c r="S6" s="838"/>
      <c r="T6" s="838"/>
      <c r="U6" s="838"/>
      <c r="V6" s="838"/>
      <c r="W6" s="838"/>
      <c r="X6" s="838"/>
      <c r="Y6" s="838"/>
      <c r="Z6" s="838"/>
      <c r="AA6" s="838"/>
      <c r="AB6" s="838"/>
      <c r="AC6" s="838"/>
      <c r="AD6" s="838"/>
      <c r="AE6" s="838"/>
      <c r="AF6" s="838"/>
      <c r="AG6" s="838"/>
      <c r="AH6" s="838"/>
      <c r="AI6" s="838"/>
      <c r="AJ6" s="838"/>
      <c r="AK6" s="838"/>
      <c r="AL6" s="838"/>
      <c r="AM6" s="838"/>
      <c r="AN6" s="838"/>
      <c r="AO6" s="838"/>
    </row>
    <row r="7" spans="1:41" ht="21.75" customHeight="1">
      <c r="A7" s="340"/>
      <c r="B7" s="340"/>
      <c r="C7" s="340"/>
      <c r="D7" s="340"/>
      <c r="E7" s="340"/>
      <c r="F7" s="340"/>
      <c r="G7" s="340"/>
      <c r="H7" s="340"/>
      <c r="I7" s="340"/>
      <c r="J7" s="340"/>
      <c r="K7" s="340"/>
      <c r="L7" s="340"/>
      <c r="M7" s="340"/>
      <c r="N7" s="340"/>
      <c r="O7" s="340"/>
      <c r="P7" s="340"/>
      <c r="Q7" s="340"/>
      <c r="R7" s="340"/>
      <c r="S7" s="340"/>
      <c r="T7" s="340"/>
      <c r="U7" s="340"/>
      <c r="V7" s="340"/>
      <c r="W7" s="341"/>
      <c r="X7" s="341"/>
      <c r="Y7" s="340"/>
      <c r="Z7" s="340"/>
      <c r="AA7" s="340"/>
      <c r="AB7" s="340"/>
      <c r="AC7" s="340"/>
      <c r="AD7" s="340"/>
      <c r="AE7" s="340"/>
      <c r="AF7" s="340"/>
      <c r="AG7" s="340"/>
      <c r="AH7" s="340"/>
      <c r="AI7" s="340"/>
      <c r="AJ7" s="340"/>
      <c r="AK7" s="1031" t="s">
        <v>38</v>
      </c>
      <c r="AL7" s="1031"/>
      <c r="AM7" s="1031"/>
      <c r="AN7" s="1031"/>
      <c r="AO7" s="1031"/>
    </row>
    <row r="8" spans="1:41" s="342" customFormat="1" ht="20.100000000000001" customHeight="1">
      <c r="A8" s="1030" t="s">
        <v>39</v>
      </c>
      <c r="B8" s="1030" t="s">
        <v>433</v>
      </c>
      <c r="C8" s="1030" t="s">
        <v>94</v>
      </c>
      <c r="D8" s="1030" t="s">
        <v>428</v>
      </c>
      <c r="E8" s="1030" t="s">
        <v>429</v>
      </c>
      <c r="F8" s="1030"/>
      <c r="G8" s="1030"/>
      <c r="H8" s="1030"/>
      <c r="I8" s="1030"/>
      <c r="J8" s="1030"/>
      <c r="K8" s="1030"/>
      <c r="L8" s="1030"/>
      <c r="M8" s="1030"/>
      <c r="N8" s="1030"/>
      <c r="O8" s="1030"/>
      <c r="P8" s="1030"/>
      <c r="Q8" s="1030"/>
      <c r="R8" s="1030"/>
      <c r="S8" s="1030"/>
      <c r="T8" s="1030"/>
      <c r="U8" s="1030"/>
      <c r="V8" s="1030"/>
      <c r="W8" s="1030"/>
      <c r="X8" s="1030"/>
      <c r="Y8" s="1030"/>
      <c r="Z8" s="1030"/>
      <c r="AA8" s="1030"/>
      <c r="AB8" s="1030"/>
      <c r="AC8" s="1030"/>
      <c r="AD8" s="1030"/>
      <c r="AE8" s="1030"/>
      <c r="AF8" s="1030"/>
      <c r="AG8" s="1030"/>
      <c r="AH8" s="1030"/>
      <c r="AI8" s="1030"/>
      <c r="AJ8" s="1030"/>
      <c r="AK8" s="1030"/>
      <c r="AL8" s="1030"/>
      <c r="AM8" s="1030"/>
      <c r="AN8" s="1030"/>
      <c r="AO8" s="1030" t="s">
        <v>96</v>
      </c>
    </row>
    <row r="9" spans="1:41" s="342" customFormat="1" ht="20.100000000000001" customHeight="1">
      <c r="A9" s="1030"/>
      <c r="B9" s="1030"/>
      <c r="C9" s="1030"/>
      <c r="D9" s="1030"/>
      <c r="E9" s="1030" t="s">
        <v>430</v>
      </c>
      <c r="F9" s="1030"/>
      <c r="G9" s="1030"/>
      <c r="H9" s="1030"/>
      <c r="I9" s="1030"/>
      <c r="J9" s="1030"/>
      <c r="K9" s="1030"/>
      <c r="L9" s="1030"/>
      <c r="M9" s="1030" t="s">
        <v>431</v>
      </c>
      <c r="N9" s="1030"/>
      <c r="O9" s="1030"/>
      <c r="P9" s="1030"/>
      <c r="Q9" s="1030"/>
      <c r="R9" s="1030"/>
      <c r="S9" s="1030"/>
      <c r="T9" s="1030"/>
      <c r="U9" s="1030"/>
      <c r="V9" s="1030"/>
      <c r="W9" s="1030"/>
      <c r="X9" s="1030"/>
      <c r="Y9" s="1030"/>
      <c r="Z9" s="1030"/>
      <c r="AA9" s="1030"/>
      <c r="AB9" s="1030"/>
      <c r="AC9" s="1030"/>
      <c r="AD9" s="1030"/>
      <c r="AE9" s="1030"/>
      <c r="AF9" s="1030"/>
      <c r="AG9" s="1030"/>
      <c r="AH9" s="1030"/>
      <c r="AI9" s="1030"/>
      <c r="AJ9" s="1030"/>
      <c r="AK9" s="1030" t="s">
        <v>1450</v>
      </c>
      <c r="AL9" s="1030" t="s">
        <v>1451</v>
      </c>
      <c r="AM9" s="1030" t="s">
        <v>1452</v>
      </c>
      <c r="AN9" s="841" t="s">
        <v>432</v>
      </c>
      <c r="AO9" s="1030"/>
    </row>
    <row r="10" spans="1:41" s="342" customFormat="1" ht="20.100000000000001" customHeight="1">
      <c r="A10" s="1030"/>
      <c r="B10" s="1030"/>
      <c r="C10" s="1030"/>
      <c r="D10" s="1030"/>
      <c r="E10" s="1030" t="s">
        <v>315</v>
      </c>
      <c r="F10" s="841"/>
      <c r="G10" s="1030" t="s">
        <v>434</v>
      </c>
      <c r="H10" s="1030"/>
      <c r="I10" s="1030"/>
      <c r="J10" s="1030" t="s">
        <v>435</v>
      </c>
      <c r="K10" s="1030"/>
      <c r="L10" s="1030"/>
      <c r="M10" s="1030" t="s">
        <v>315</v>
      </c>
      <c r="N10" s="841"/>
      <c r="O10" s="841"/>
      <c r="P10" s="841"/>
      <c r="Q10" s="841"/>
      <c r="R10" s="841"/>
      <c r="S10" s="841"/>
      <c r="T10" s="841"/>
      <c r="U10" s="841"/>
      <c r="V10" s="841"/>
      <c r="W10" s="1030" t="s">
        <v>435</v>
      </c>
      <c r="X10" s="1030"/>
      <c r="Y10" s="1030"/>
      <c r="Z10" s="1030" t="s">
        <v>436</v>
      </c>
      <c r="AA10" s="1030"/>
      <c r="AB10" s="1030"/>
      <c r="AC10" s="1030"/>
      <c r="AD10" s="1030"/>
      <c r="AE10" s="1030"/>
      <c r="AF10" s="1030"/>
      <c r="AG10" s="1030"/>
      <c r="AH10" s="1030"/>
      <c r="AI10" s="841" t="s">
        <v>437</v>
      </c>
      <c r="AJ10" s="841"/>
      <c r="AK10" s="1030"/>
      <c r="AL10" s="1030"/>
      <c r="AM10" s="1030"/>
      <c r="AN10" s="841" t="s">
        <v>438</v>
      </c>
      <c r="AO10" s="1030"/>
    </row>
    <row r="11" spans="1:41" s="342" customFormat="1" ht="58.5" customHeight="1">
      <c r="A11" s="1030"/>
      <c r="B11" s="1030"/>
      <c r="C11" s="1030"/>
      <c r="D11" s="1030"/>
      <c r="E11" s="1030"/>
      <c r="F11" s="841"/>
      <c r="G11" s="841" t="s">
        <v>315</v>
      </c>
      <c r="H11" s="841" t="s">
        <v>2</v>
      </c>
      <c r="I11" s="841" t="s">
        <v>3</v>
      </c>
      <c r="J11" s="841" t="s">
        <v>1448</v>
      </c>
      <c r="K11" s="841"/>
      <c r="L11" s="841" t="s">
        <v>1449</v>
      </c>
      <c r="M11" s="1030"/>
      <c r="N11" s="841"/>
      <c r="O11" s="841"/>
      <c r="P11" s="841"/>
      <c r="Q11" s="841"/>
      <c r="R11" s="841"/>
      <c r="S11" s="841"/>
      <c r="T11" s="841"/>
      <c r="U11" s="841"/>
      <c r="V11" s="841"/>
      <c r="W11" s="841" t="s">
        <v>1448</v>
      </c>
      <c r="X11" s="841"/>
      <c r="Y11" s="841" t="s">
        <v>1449</v>
      </c>
      <c r="Z11" s="841"/>
      <c r="AA11" s="841"/>
      <c r="AB11" s="841"/>
      <c r="AC11" s="841"/>
      <c r="AD11" s="841"/>
      <c r="AE11" s="841"/>
      <c r="AF11" s="841"/>
      <c r="AG11" s="841"/>
      <c r="AH11" s="841"/>
      <c r="AI11" s="841"/>
      <c r="AJ11" s="841"/>
      <c r="AK11" s="1030"/>
      <c r="AL11" s="1030"/>
      <c r="AM11" s="1030"/>
      <c r="AN11" s="841" t="s">
        <v>440</v>
      </c>
      <c r="AO11" s="1030"/>
    </row>
    <row r="12" spans="1:41" s="840" customFormat="1" ht="20.100000000000001" customHeight="1">
      <c r="A12" s="842" t="s">
        <v>51</v>
      </c>
      <c r="B12" s="842" t="s">
        <v>77</v>
      </c>
      <c r="C12" s="842">
        <v>1</v>
      </c>
      <c r="D12" s="842">
        <v>2</v>
      </c>
      <c r="E12" s="842">
        <v>3</v>
      </c>
      <c r="F12" s="843" t="s">
        <v>441</v>
      </c>
      <c r="G12" s="842">
        <v>4</v>
      </c>
      <c r="H12" s="842">
        <v>5</v>
      </c>
      <c r="I12" s="842">
        <v>6</v>
      </c>
      <c r="J12" s="842">
        <v>7</v>
      </c>
      <c r="K12" s="843"/>
      <c r="L12" s="842">
        <v>8</v>
      </c>
      <c r="M12" s="842">
        <v>7</v>
      </c>
      <c r="N12" s="843" t="s">
        <v>441</v>
      </c>
      <c r="O12" s="843" t="s">
        <v>442</v>
      </c>
      <c r="P12" s="843" t="s">
        <v>443</v>
      </c>
      <c r="Q12" s="843" t="s">
        <v>444</v>
      </c>
      <c r="R12" s="843" t="s">
        <v>445</v>
      </c>
      <c r="S12" s="843" t="s">
        <v>446</v>
      </c>
      <c r="T12" s="843" t="s">
        <v>447</v>
      </c>
      <c r="U12" s="843" t="s">
        <v>448</v>
      </c>
      <c r="V12" s="843" t="s">
        <v>449</v>
      </c>
      <c r="W12" s="842">
        <v>8</v>
      </c>
      <c r="X12" s="842" t="s">
        <v>450</v>
      </c>
      <c r="Y12" s="842">
        <v>9</v>
      </c>
      <c r="Z12" s="842" t="s">
        <v>451</v>
      </c>
      <c r="AA12" s="842" t="s">
        <v>452</v>
      </c>
      <c r="AB12" s="842" t="s">
        <v>453</v>
      </c>
      <c r="AC12" s="843" t="s">
        <v>454</v>
      </c>
      <c r="AD12" s="843" t="s">
        <v>455</v>
      </c>
      <c r="AE12" s="842" t="s">
        <v>456</v>
      </c>
      <c r="AF12" s="842" t="s">
        <v>457</v>
      </c>
      <c r="AG12" s="842" t="s">
        <v>458</v>
      </c>
      <c r="AH12" s="842" t="s">
        <v>459</v>
      </c>
      <c r="AI12" s="842" t="s">
        <v>460</v>
      </c>
      <c r="AJ12" s="842" t="s">
        <v>461</v>
      </c>
      <c r="AK12" s="842">
        <v>10</v>
      </c>
      <c r="AL12" s="842">
        <v>11</v>
      </c>
      <c r="AM12" s="842">
        <v>12</v>
      </c>
      <c r="AN12" s="842">
        <v>13</v>
      </c>
      <c r="AO12" s="842" t="s">
        <v>746</v>
      </c>
    </row>
    <row r="13" spans="1:41" s="344" customFormat="1" ht="20.100000000000001" customHeight="1">
      <c r="A13" s="844"/>
      <c r="B13" s="844" t="s">
        <v>462</v>
      </c>
      <c r="C13" s="845">
        <f t="shared" ref="C13:AN13" si="0">SUM(C14:C22)</f>
        <v>3280171</v>
      </c>
      <c r="D13" s="846">
        <f t="shared" si="0"/>
        <v>4410452.3195680007</v>
      </c>
      <c r="E13" s="846">
        <f t="shared" si="0"/>
        <v>509155.97269300005</v>
      </c>
      <c r="F13" s="847">
        <f t="shared" si="0"/>
        <v>509531.11069300002</v>
      </c>
      <c r="G13" s="846">
        <f t="shared" si="0"/>
        <v>509155.97269300005</v>
      </c>
      <c r="H13" s="846">
        <f t="shared" si="0"/>
        <v>509155.97269300005</v>
      </c>
      <c r="I13" s="846">
        <f t="shared" si="0"/>
        <v>0</v>
      </c>
      <c r="J13" s="846">
        <f t="shared" si="0"/>
        <v>133428.38099999999</v>
      </c>
      <c r="K13" s="847">
        <f>SUM(K14:K22)</f>
        <v>133803.519</v>
      </c>
      <c r="L13" s="846">
        <f t="shared" si="0"/>
        <v>0</v>
      </c>
      <c r="M13" s="846">
        <f>SUM(M14:M22)</f>
        <v>3583887.3568209996</v>
      </c>
      <c r="N13" s="847">
        <f>SUM(N14:N22)</f>
        <v>3692616.8204979999</v>
      </c>
      <c r="O13" s="846">
        <f t="shared" si="0"/>
        <v>108729.46367699999</v>
      </c>
      <c r="P13" s="847">
        <f>SUM(P14:P22)</f>
        <v>0</v>
      </c>
      <c r="Q13" s="846">
        <f t="shared" si="0"/>
        <v>0</v>
      </c>
      <c r="R13" s="846">
        <f t="shared" si="0"/>
        <v>0</v>
      </c>
      <c r="S13" s="848">
        <f t="shared" si="0"/>
        <v>0</v>
      </c>
      <c r="T13" s="846">
        <f t="shared" si="0"/>
        <v>0</v>
      </c>
      <c r="U13" s="847">
        <f t="shared" si="0"/>
        <v>0</v>
      </c>
      <c r="V13" s="847">
        <f t="shared" si="0"/>
        <v>0</v>
      </c>
      <c r="W13" s="846">
        <f t="shared" si="0"/>
        <v>1721850.9962220001</v>
      </c>
      <c r="X13" s="846">
        <f>SUM(X14:X22)</f>
        <v>1725684.2030219999</v>
      </c>
      <c r="Y13" s="846">
        <f t="shared" si="0"/>
        <v>4938.2631740000006</v>
      </c>
      <c r="Z13" s="846">
        <f t="shared" si="0"/>
        <v>1101.405</v>
      </c>
      <c r="AA13" s="846">
        <f t="shared" si="0"/>
        <v>70</v>
      </c>
      <c r="AB13" s="846">
        <f t="shared" si="0"/>
        <v>3833.2067999999999</v>
      </c>
      <c r="AC13" s="846">
        <f>SUM(AC14:AC22)</f>
        <v>375.13799999999998</v>
      </c>
      <c r="AD13" s="846">
        <f>SUM(AD14:AD22)</f>
        <v>0</v>
      </c>
      <c r="AE13" s="846">
        <f t="shared" si="0"/>
        <v>9351.1774999999998</v>
      </c>
      <c r="AF13" s="846">
        <f t="shared" si="0"/>
        <v>93966.207599000016</v>
      </c>
      <c r="AG13" s="846">
        <f t="shared" si="0"/>
        <v>35.411000000000001</v>
      </c>
      <c r="AH13" s="846">
        <f t="shared" si="0"/>
        <v>372.05577799999998</v>
      </c>
      <c r="AI13" s="846">
        <f t="shared" si="0"/>
        <v>0</v>
      </c>
      <c r="AJ13" s="846">
        <f t="shared" si="0"/>
        <v>0</v>
      </c>
      <c r="AK13" s="846">
        <f t="shared" si="0"/>
        <v>109104.601677</v>
      </c>
      <c r="AL13" s="846">
        <f>SUM(AL14:AL22)</f>
        <v>515.46299999999997</v>
      </c>
      <c r="AM13" s="846">
        <f>SUM(AM14:AM22)</f>
        <v>207788.92537700001</v>
      </c>
      <c r="AN13" s="846">
        <f t="shared" si="0"/>
        <v>0</v>
      </c>
      <c r="AO13" s="849">
        <f t="shared" ref="AO13:AO22" si="1">D13/C13*100</f>
        <v>134.45799988988381</v>
      </c>
    </row>
    <row r="14" spans="1:41" s="342" customFormat="1" ht="20.100000000000001" customHeight="1">
      <c r="A14" s="850">
        <v>1</v>
      </c>
      <c r="B14" s="860" t="s">
        <v>463</v>
      </c>
      <c r="C14" s="851">
        <v>590027</v>
      </c>
      <c r="D14" s="852">
        <f>+E14+M14+AK14+AM14+AL14+AN14</f>
        <v>693547.32984700007</v>
      </c>
      <c r="E14" s="852">
        <f t="shared" ref="E14:E22" si="2">F14-T14-R14-AC14-AD14</f>
        <v>58289.802120000008</v>
      </c>
      <c r="F14" s="853">
        <f>37389.11712+20900.685</f>
        <v>58289.802120000008</v>
      </c>
      <c r="G14" s="852">
        <f t="shared" ref="G14:G22" si="3">E14</f>
        <v>58289.802120000008</v>
      </c>
      <c r="H14" s="852">
        <f t="shared" ref="H14:H22" si="4">E14</f>
        <v>58289.802120000008</v>
      </c>
      <c r="I14" s="852"/>
      <c r="J14" s="852">
        <f t="shared" ref="J14:J22" si="5">K14-S14-AC14</f>
        <v>10721.587</v>
      </c>
      <c r="K14" s="853">
        <v>10721.587</v>
      </c>
      <c r="L14" s="852"/>
      <c r="M14" s="852">
        <f t="shared" ref="M14:M22" si="6">+N14-O14</f>
        <v>622913.56201600004</v>
      </c>
      <c r="N14" s="853">
        <f>533998.10791+95244.850006</f>
        <v>629242.95791600004</v>
      </c>
      <c r="O14" s="852">
        <f t="shared" ref="O14:O22" si="7">+P14+Q14+AK14-AC14-AD14</f>
        <v>6329.3959000000004</v>
      </c>
      <c r="P14" s="854">
        <v>0</v>
      </c>
      <c r="Q14" s="852"/>
      <c r="R14" s="852"/>
      <c r="S14" s="855"/>
      <c r="T14" s="852">
        <f t="shared" ref="T14:T22" si="8">+U14+V14</f>
        <v>0</v>
      </c>
      <c r="U14" s="856"/>
      <c r="V14" s="856"/>
      <c r="W14" s="852">
        <f t="shared" ref="W14:W22" si="9">+X14-P14-AB14</f>
        <v>286127.81028399995</v>
      </c>
      <c r="X14" s="853">
        <f>285650.106384+758.4678</f>
        <v>286408.57418399997</v>
      </c>
      <c r="Y14" s="852">
        <v>633.59699999999998</v>
      </c>
      <c r="Z14" s="852"/>
      <c r="AA14" s="852"/>
      <c r="AB14" s="857">
        <v>280.76389999999998</v>
      </c>
      <c r="AC14" s="852"/>
      <c r="AD14" s="852"/>
      <c r="AE14" s="852">
        <f>5270.859+745.481</f>
        <v>6016.34</v>
      </c>
      <c r="AF14" s="852"/>
      <c r="AG14" s="852">
        <v>32.292000000000002</v>
      </c>
      <c r="AH14" s="852"/>
      <c r="AI14" s="852"/>
      <c r="AJ14" s="852"/>
      <c r="AK14" s="852">
        <f>SUM(Z14:AJ14)</f>
        <v>6329.3959000000004</v>
      </c>
      <c r="AL14" s="852">
        <v>0</v>
      </c>
      <c r="AM14" s="852">
        <v>6014.5698110000003</v>
      </c>
      <c r="AN14" s="852">
        <f t="shared" ref="AN14:AN22" si="10">P14+Q14+R14+T14</f>
        <v>0</v>
      </c>
      <c r="AO14" s="858">
        <f>D14/C14*100</f>
        <v>117.54501571063697</v>
      </c>
    </row>
    <row r="15" spans="1:41" s="342" customFormat="1" ht="20.100000000000001" customHeight="1">
      <c r="A15" s="850">
        <v>2</v>
      </c>
      <c r="B15" s="860" t="s">
        <v>464</v>
      </c>
      <c r="C15" s="851">
        <v>307360</v>
      </c>
      <c r="D15" s="852">
        <f>+E15+M15+AK15+AM15+AL15+AN15</f>
        <v>435312.49616600003</v>
      </c>
      <c r="E15" s="852">
        <f>F15-T15-R15-AC15-AD15</f>
        <v>38509.991696999998</v>
      </c>
      <c r="F15" s="853">
        <f>32713.603697+5796.388</f>
        <v>38509.991696999998</v>
      </c>
      <c r="G15" s="852">
        <f t="shared" si="3"/>
        <v>38509.991696999998</v>
      </c>
      <c r="H15" s="852">
        <f t="shared" si="4"/>
        <v>38509.991696999998</v>
      </c>
      <c r="I15" s="852"/>
      <c r="J15" s="852">
        <f t="shared" ref="J15:J20" si="11">K15-S15-AC15</f>
        <v>5783.7449999999999</v>
      </c>
      <c r="K15" s="853">
        <v>5783.7449999999999</v>
      </c>
      <c r="L15" s="852"/>
      <c r="M15" s="852">
        <f t="shared" si="6"/>
        <v>359116.01070400001</v>
      </c>
      <c r="N15" s="853">
        <f>292029.620564+82496.231937</f>
        <v>374525.85250099999</v>
      </c>
      <c r="O15" s="852">
        <f t="shared" si="7"/>
        <v>15409.841797000001</v>
      </c>
      <c r="P15" s="854">
        <v>0</v>
      </c>
      <c r="Q15" s="852"/>
      <c r="R15" s="852"/>
      <c r="S15" s="855"/>
      <c r="T15" s="852">
        <f>+U15+V15</f>
        <v>0</v>
      </c>
      <c r="U15" s="856"/>
      <c r="V15" s="856"/>
      <c r="W15" s="852">
        <f>+X15-P15-AB15</f>
        <v>159477.70626599999</v>
      </c>
      <c r="X15" s="853">
        <v>159477.70626599999</v>
      </c>
      <c r="Y15" s="852">
        <v>531.52</v>
      </c>
      <c r="Z15" s="852"/>
      <c r="AA15" s="852"/>
      <c r="AB15" s="852"/>
      <c r="AC15" s="852"/>
      <c r="AD15" s="852"/>
      <c r="AE15" s="852">
        <v>2009.7245</v>
      </c>
      <c r="AF15" s="852">
        <f>1594.502+5816.881297+5888.734</f>
        <v>13300.117297000001</v>
      </c>
      <c r="AG15" s="852"/>
      <c r="AH15" s="852">
        <v>100</v>
      </c>
      <c r="AI15" s="852"/>
      <c r="AJ15" s="852"/>
      <c r="AK15" s="852">
        <f t="shared" ref="AK15:AK22" si="12">SUM(Z15:AJ15)</f>
        <v>15409.841797000001</v>
      </c>
      <c r="AL15" s="852">
        <v>217.46299999999999</v>
      </c>
      <c r="AM15" s="852">
        <v>22059.188967999999</v>
      </c>
      <c r="AN15" s="852">
        <f>P15+Q15+R15+T15</f>
        <v>0</v>
      </c>
      <c r="AO15" s="858">
        <f t="shared" si="1"/>
        <v>141.62952113677773</v>
      </c>
    </row>
    <row r="16" spans="1:41" s="342" customFormat="1" ht="20.100000000000001" customHeight="1">
      <c r="A16" s="850">
        <v>3</v>
      </c>
      <c r="B16" s="860" t="s">
        <v>465</v>
      </c>
      <c r="C16" s="851">
        <v>367616</v>
      </c>
      <c r="D16" s="852">
        <f t="shared" ref="D16:D22" si="13">+E16+M16+AK16+AM16+AL16+AN16</f>
        <v>510635.10106400005</v>
      </c>
      <c r="E16" s="852">
        <f>F16-T16-R16-AC16-AD16</f>
        <v>49449.595000000001</v>
      </c>
      <c r="F16" s="853">
        <f>34131.372+15318.223</f>
        <v>49449.595000000001</v>
      </c>
      <c r="G16" s="852">
        <f>E16</f>
        <v>49449.595000000001</v>
      </c>
      <c r="H16" s="852">
        <f>E16</f>
        <v>49449.595000000001</v>
      </c>
      <c r="I16" s="852"/>
      <c r="J16" s="852">
        <f t="shared" si="11"/>
        <v>13335.573</v>
      </c>
      <c r="K16" s="853">
        <v>13335.573</v>
      </c>
      <c r="L16" s="852"/>
      <c r="M16" s="852">
        <f>+N16-O16</f>
        <v>409261.70723100001</v>
      </c>
      <c r="N16" s="853">
        <f>337442.382236+83334.330995</f>
        <v>420776.713231</v>
      </c>
      <c r="O16" s="852">
        <f>+P16+Q16+AK16-AC16-AD16</f>
        <v>11515.006000000001</v>
      </c>
      <c r="P16" s="854">
        <v>0</v>
      </c>
      <c r="Q16" s="852"/>
      <c r="R16" s="852"/>
      <c r="S16" s="859"/>
      <c r="T16" s="852">
        <f t="shared" si="8"/>
        <v>0</v>
      </c>
      <c r="U16" s="856"/>
      <c r="V16" s="856"/>
      <c r="W16" s="852">
        <f>+X16-P16-AB16</f>
        <v>200734.23944600002</v>
      </c>
      <c r="X16" s="853">
        <f>199527.785846+1376.0766</f>
        <v>200903.86244600001</v>
      </c>
      <c r="Y16" s="852">
        <v>746.35199999999998</v>
      </c>
      <c r="Z16" s="852"/>
      <c r="AA16" s="852"/>
      <c r="AB16" s="852">
        <v>169.62299999999999</v>
      </c>
      <c r="AC16" s="852"/>
      <c r="AD16" s="852"/>
      <c r="AE16" s="852">
        <v>635.17499999999995</v>
      </c>
      <c r="AF16" s="852">
        <f>932.474+9777.734</f>
        <v>10710.208000000001</v>
      </c>
      <c r="AG16" s="852"/>
      <c r="AH16" s="852"/>
      <c r="AI16" s="852"/>
      <c r="AJ16" s="852"/>
      <c r="AK16" s="852">
        <f>SUM(Z16:AJ16)</f>
        <v>11515.006000000001</v>
      </c>
      <c r="AL16" s="852">
        <v>0</v>
      </c>
      <c r="AM16" s="852">
        <f>31488.109029+8920.683804</f>
        <v>40408.792833</v>
      </c>
      <c r="AN16" s="852">
        <f>P16+Q16+R16+T16</f>
        <v>0</v>
      </c>
      <c r="AO16" s="858">
        <f t="shared" si="1"/>
        <v>138.9044821400592</v>
      </c>
    </row>
    <row r="17" spans="1:41" s="342" customFormat="1" ht="20.100000000000001" customHeight="1">
      <c r="A17" s="850">
        <v>4</v>
      </c>
      <c r="B17" s="860" t="s">
        <v>466</v>
      </c>
      <c r="C17" s="851">
        <v>476562</v>
      </c>
      <c r="D17" s="852">
        <f>+E17+M17+AK17+AM17+AL17+AN17</f>
        <v>676003.9481390001</v>
      </c>
      <c r="E17" s="852">
        <f>F17-T17-R17-AC17-AD17</f>
        <v>89359.046660000007</v>
      </c>
      <c r="F17" s="853">
        <f>58600.08976+30758.9569</f>
        <v>89359.046660000007</v>
      </c>
      <c r="G17" s="852">
        <f t="shared" si="3"/>
        <v>89359.046660000007</v>
      </c>
      <c r="H17" s="852">
        <f>E17</f>
        <v>89359.046660000007</v>
      </c>
      <c r="I17" s="852"/>
      <c r="J17" s="852">
        <f t="shared" si="11"/>
        <v>30014.82</v>
      </c>
      <c r="K17" s="853">
        <v>30014.82</v>
      </c>
      <c r="L17" s="852"/>
      <c r="M17" s="852">
        <f>+N17-O17</f>
        <v>543798.06297800003</v>
      </c>
      <c r="N17" s="853">
        <f>435972.032543+115462.386435</f>
        <v>551434.41897800006</v>
      </c>
      <c r="O17" s="852">
        <f>+P17+Q17+AK17-AC17-AD17</f>
        <v>7636.3559999999998</v>
      </c>
      <c r="P17" s="854">
        <v>0</v>
      </c>
      <c r="Q17" s="852"/>
      <c r="R17" s="852"/>
      <c r="S17" s="855"/>
      <c r="T17" s="852">
        <f t="shared" si="8"/>
        <v>0</v>
      </c>
      <c r="U17" s="856"/>
      <c r="V17" s="856"/>
      <c r="W17" s="852">
        <f>+X17-P17-AB17</f>
        <v>264289.63303700008</v>
      </c>
      <c r="X17" s="853">
        <f>264862.899037+261.568</f>
        <v>265124.46703700005</v>
      </c>
      <c r="Y17" s="852">
        <v>312.50900000000001</v>
      </c>
      <c r="Z17" s="852"/>
      <c r="AA17" s="852"/>
      <c r="AB17" s="852">
        <v>834.83399999999995</v>
      </c>
      <c r="AC17" s="852"/>
      <c r="AD17" s="852"/>
      <c r="AE17" s="852">
        <v>25.221</v>
      </c>
      <c r="AF17" s="852">
        <f>354.57+6421.126</f>
        <v>6775.6959999999999</v>
      </c>
      <c r="AG17" s="852">
        <v>0.60499999999999998</v>
      </c>
      <c r="AH17" s="852"/>
      <c r="AI17" s="852"/>
      <c r="AJ17" s="852"/>
      <c r="AK17" s="852">
        <f>SUM(Z17:AJ17)</f>
        <v>7636.3559999999998</v>
      </c>
      <c r="AL17" s="852">
        <v>0</v>
      </c>
      <c r="AM17" s="852">
        <f>21716.607+13493.875501</f>
        <v>35210.482500999999</v>
      </c>
      <c r="AN17" s="852">
        <f>P17+Q17+R17+T17</f>
        <v>0</v>
      </c>
      <c r="AO17" s="858">
        <f t="shared" si="1"/>
        <v>141.85015761621784</v>
      </c>
    </row>
    <row r="18" spans="1:41" s="343" customFormat="1" ht="20.100000000000001" customHeight="1">
      <c r="A18" s="850">
        <v>5</v>
      </c>
      <c r="B18" s="860" t="s">
        <v>467</v>
      </c>
      <c r="C18" s="851">
        <v>361778</v>
      </c>
      <c r="D18" s="852">
        <f t="shared" si="13"/>
        <v>467603.68931400008</v>
      </c>
      <c r="E18" s="852">
        <f>F18-T18-R18-AC18-AD18</f>
        <v>63536.548760000005</v>
      </c>
      <c r="F18" s="853">
        <f>43696.16176+19840.387</f>
        <v>63536.548760000005</v>
      </c>
      <c r="G18" s="852">
        <f t="shared" si="3"/>
        <v>63536.548760000005</v>
      </c>
      <c r="H18" s="852">
        <f>E18</f>
        <v>63536.548760000005</v>
      </c>
      <c r="I18" s="852"/>
      <c r="J18" s="852">
        <f t="shared" si="11"/>
        <v>14685.361999999999</v>
      </c>
      <c r="K18" s="853">
        <v>14685.361999999999</v>
      </c>
      <c r="L18" s="852"/>
      <c r="M18" s="852">
        <f>+N18-O18</f>
        <v>387199.16857800004</v>
      </c>
      <c r="N18" s="853">
        <f>321420.260344+73682.340534</f>
        <v>395102.60087800003</v>
      </c>
      <c r="O18" s="852">
        <f t="shared" si="7"/>
        <v>7903.4322999999995</v>
      </c>
      <c r="P18" s="854">
        <v>0</v>
      </c>
      <c r="Q18" s="852"/>
      <c r="R18" s="852"/>
      <c r="S18" s="855"/>
      <c r="T18" s="852">
        <f>+U18+V18</f>
        <v>0</v>
      </c>
      <c r="U18" s="856"/>
      <c r="V18" s="856"/>
      <c r="W18" s="852">
        <f>+X18-P18-AB18</f>
        <v>192842.87941299999</v>
      </c>
      <c r="X18" s="853">
        <f>193062.560163+717.83455</f>
        <v>193780.39471299999</v>
      </c>
      <c r="Y18" s="852">
        <v>300.58600000000001</v>
      </c>
      <c r="Z18" s="852">
        <v>50</v>
      </c>
      <c r="AA18" s="852"/>
      <c r="AB18" s="852">
        <f>22.5015+915.0138</f>
        <v>937.51529999999991</v>
      </c>
      <c r="AC18" s="852"/>
      <c r="AD18" s="852"/>
      <c r="AE18" s="852">
        <v>167.4</v>
      </c>
      <c r="AF18" s="852">
        <v>6748.5169999999998</v>
      </c>
      <c r="AG18" s="852"/>
      <c r="AH18" s="852"/>
      <c r="AI18" s="852"/>
      <c r="AJ18" s="852"/>
      <c r="AK18" s="852">
        <f>SUM(Z18:AJ18)</f>
        <v>7903.4322999999995</v>
      </c>
      <c r="AL18" s="852">
        <v>0</v>
      </c>
      <c r="AM18" s="852">
        <v>8964.5396760000003</v>
      </c>
      <c r="AN18" s="852">
        <f t="shared" si="10"/>
        <v>0</v>
      </c>
      <c r="AO18" s="858">
        <f t="shared" si="1"/>
        <v>129.25155463129326</v>
      </c>
    </row>
    <row r="19" spans="1:41" s="342" customFormat="1" ht="20.100000000000001" customHeight="1">
      <c r="A19" s="850">
        <v>6</v>
      </c>
      <c r="B19" s="860" t="s">
        <v>468</v>
      </c>
      <c r="C19" s="851">
        <v>480553</v>
      </c>
      <c r="D19" s="852">
        <f t="shared" si="13"/>
        <v>637614.37948</v>
      </c>
      <c r="E19" s="852">
        <f t="shared" si="2"/>
        <v>63527.171233000001</v>
      </c>
      <c r="F19" s="853">
        <f>20927.047216+42600.124017</f>
        <v>63527.171233000001</v>
      </c>
      <c r="G19" s="852">
        <f t="shared" si="3"/>
        <v>63527.171233000001</v>
      </c>
      <c r="H19" s="852">
        <f>E19</f>
        <v>63527.171233000001</v>
      </c>
      <c r="I19" s="852"/>
      <c r="J19" s="852">
        <f t="shared" si="11"/>
        <v>8444.366</v>
      </c>
      <c r="K19" s="853">
        <v>8444.366</v>
      </c>
      <c r="L19" s="852"/>
      <c r="M19" s="852">
        <f t="shared" si="6"/>
        <v>548359.0498690001</v>
      </c>
      <c r="N19" s="853">
        <f>446692.811575+121081.305894</f>
        <v>567774.11746900005</v>
      </c>
      <c r="O19" s="852">
        <f t="shared" si="7"/>
        <v>19415.067599999998</v>
      </c>
      <c r="P19" s="854">
        <v>0</v>
      </c>
      <c r="Q19" s="852"/>
      <c r="R19" s="852"/>
      <c r="S19" s="859"/>
      <c r="T19" s="852">
        <f>+U19+V19</f>
        <v>0</v>
      </c>
      <c r="U19" s="856"/>
      <c r="V19" s="856"/>
      <c r="W19" s="852">
        <f>+X19-P19-AB19</f>
        <v>312353.83338600001</v>
      </c>
      <c r="X19" s="853">
        <f>311745.353286+1064.8137</f>
        <v>312810.16698600003</v>
      </c>
      <c r="Y19" s="852">
        <v>792.8</v>
      </c>
      <c r="Z19" s="852">
        <v>1051.405</v>
      </c>
      <c r="AA19" s="852">
        <v>70</v>
      </c>
      <c r="AB19" s="852">
        <v>456.33359999999999</v>
      </c>
      <c r="AC19" s="852"/>
      <c r="AD19" s="852"/>
      <c r="AE19" s="852">
        <v>143.923</v>
      </c>
      <c r="AF19" s="852">
        <f>2046.672+15646.734</f>
        <v>17693.405999999999</v>
      </c>
      <c r="AG19" s="852"/>
      <c r="AH19" s="852"/>
      <c r="AI19" s="852"/>
      <c r="AJ19" s="852"/>
      <c r="AK19" s="852">
        <f>SUM(Z19:AJ19)</f>
        <v>19415.067599999998</v>
      </c>
      <c r="AL19" s="852">
        <v>100</v>
      </c>
      <c r="AM19" s="852">
        <v>6213.0907779999998</v>
      </c>
      <c r="AN19" s="852">
        <f t="shared" si="10"/>
        <v>0</v>
      </c>
      <c r="AO19" s="858">
        <f t="shared" si="1"/>
        <v>132.68346664779952</v>
      </c>
    </row>
    <row r="20" spans="1:41" s="342" customFormat="1" ht="20.100000000000001" customHeight="1">
      <c r="A20" s="850">
        <v>7</v>
      </c>
      <c r="B20" s="860" t="s">
        <v>469</v>
      </c>
      <c r="C20" s="851">
        <v>226863</v>
      </c>
      <c r="D20" s="852">
        <f t="shared" si="13"/>
        <v>293351.190558</v>
      </c>
      <c r="E20" s="852">
        <f t="shared" si="2"/>
        <v>28196.348428999998</v>
      </c>
      <c r="F20" s="853">
        <f>13708.294833+14488.053596</f>
        <v>28196.348428999998</v>
      </c>
      <c r="G20" s="852">
        <f t="shared" si="3"/>
        <v>28196.348428999998</v>
      </c>
      <c r="H20" s="852">
        <f t="shared" si="4"/>
        <v>28196.348428999998</v>
      </c>
      <c r="I20" s="852"/>
      <c r="J20" s="852">
        <f t="shared" si="11"/>
        <v>5534.424</v>
      </c>
      <c r="K20" s="853">
        <v>5534.424</v>
      </c>
      <c r="L20" s="852"/>
      <c r="M20" s="852">
        <f t="shared" si="6"/>
        <v>225129.789674</v>
      </c>
      <c r="N20" s="853">
        <f>181726.041258+51808.282058</f>
        <v>233534.32331599999</v>
      </c>
      <c r="O20" s="852">
        <f t="shared" si="7"/>
        <v>8404.5336420000003</v>
      </c>
      <c r="P20" s="854">
        <v>0</v>
      </c>
      <c r="Q20" s="852"/>
      <c r="R20" s="852"/>
      <c r="S20" s="855"/>
      <c r="T20" s="852">
        <f t="shared" si="8"/>
        <v>0</v>
      </c>
      <c r="U20" s="856"/>
      <c r="V20" s="856"/>
      <c r="W20" s="852">
        <f t="shared" si="9"/>
        <v>96448.480360999994</v>
      </c>
      <c r="X20" s="853">
        <f>95599.012361+849.468</f>
        <v>96448.480360999994</v>
      </c>
      <c r="Y20" s="852">
        <v>395.00009999999997</v>
      </c>
      <c r="Z20" s="852"/>
      <c r="AA20" s="852"/>
      <c r="AB20" s="852"/>
      <c r="AC20" s="852"/>
      <c r="AD20" s="852"/>
      <c r="AE20" s="852">
        <v>345</v>
      </c>
      <c r="AF20" s="852">
        <f>640+7419.533642</f>
        <v>8059.5336420000003</v>
      </c>
      <c r="AG20" s="852"/>
      <c r="AH20" s="852"/>
      <c r="AI20" s="852"/>
      <c r="AJ20" s="852"/>
      <c r="AK20" s="852">
        <f t="shared" si="12"/>
        <v>8404.5336420000003</v>
      </c>
      <c r="AL20" s="852">
        <v>0</v>
      </c>
      <c r="AM20" s="852">
        <f>27985.212281+3635.306532</f>
        <v>31620.518812999999</v>
      </c>
      <c r="AN20" s="852">
        <f t="shared" si="10"/>
        <v>0</v>
      </c>
      <c r="AO20" s="858">
        <f t="shared" si="1"/>
        <v>129.30763965829598</v>
      </c>
    </row>
    <row r="21" spans="1:41" s="342" customFormat="1" ht="20.100000000000001" customHeight="1">
      <c r="A21" s="850">
        <v>8</v>
      </c>
      <c r="B21" s="860" t="s">
        <v>470</v>
      </c>
      <c r="C21" s="851">
        <v>268296</v>
      </c>
      <c r="D21" s="852">
        <f t="shared" si="13"/>
        <v>376227.71052000002</v>
      </c>
      <c r="E21" s="852">
        <f t="shared" si="2"/>
        <v>62680.788951000002</v>
      </c>
      <c r="F21" s="853">
        <f>39066.211621+23989.71533</f>
        <v>63055.926951000001</v>
      </c>
      <c r="G21" s="852">
        <f t="shared" si="3"/>
        <v>62680.788951000002</v>
      </c>
      <c r="H21" s="852">
        <f t="shared" si="4"/>
        <v>62680.788951000002</v>
      </c>
      <c r="I21" s="852"/>
      <c r="J21" s="852">
        <f t="shared" si="5"/>
        <v>25690.626</v>
      </c>
      <c r="K21" s="853">
        <v>26065.763999999999</v>
      </c>
      <c r="L21" s="852"/>
      <c r="M21" s="852">
        <f t="shared" si="6"/>
        <v>286927.331428</v>
      </c>
      <c r="N21" s="853">
        <f>239781.357225+63460.552131</f>
        <v>303241.90935600002</v>
      </c>
      <c r="O21" s="852">
        <f t="shared" si="7"/>
        <v>16314.577928000001</v>
      </c>
      <c r="P21" s="854">
        <v>0</v>
      </c>
      <c r="Q21" s="852"/>
      <c r="R21" s="852"/>
      <c r="S21" s="855"/>
      <c r="T21" s="852">
        <f t="shared" si="8"/>
        <v>0</v>
      </c>
      <c r="U21" s="856"/>
      <c r="V21" s="856"/>
      <c r="W21" s="852">
        <f t="shared" si="9"/>
        <v>133203.762605</v>
      </c>
      <c r="X21" s="853">
        <v>133672.94760499999</v>
      </c>
      <c r="Y21" s="852">
        <v>893.21500000000003</v>
      </c>
      <c r="Z21" s="852"/>
      <c r="AA21" s="852"/>
      <c r="AB21" s="852">
        <v>469.185</v>
      </c>
      <c r="AC21" s="852">
        <v>375.13799999999998</v>
      </c>
      <c r="AD21" s="852"/>
      <c r="AE21" s="852"/>
      <c r="AF21" s="852">
        <f>9.153+15836.239928</f>
        <v>15845.392928000001</v>
      </c>
      <c r="AG21" s="852"/>
      <c r="AH21" s="852"/>
      <c r="AI21" s="852"/>
      <c r="AJ21" s="852"/>
      <c r="AK21" s="852">
        <f>SUM(Z21:AJ21)</f>
        <v>16689.715928000001</v>
      </c>
      <c r="AL21" s="852">
        <v>0</v>
      </c>
      <c r="AM21" s="852">
        <f>8929.874213+1000</f>
        <v>9929.8742129999991</v>
      </c>
      <c r="AN21" s="852">
        <f t="shared" si="10"/>
        <v>0</v>
      </c>
      <c r="AO21" s="858">
        <f t="shared" si="1"/>
        <v>140.22859473119243</v>
      </c>
    </row>
    <row r="22" spans="1:41" s="342" customFormat="1" ht="20.100000000000001" customHeight="1">
      <c r="A22" s="850">
        <v>9</v>
      </c>
      <c r="B22" s="860" t="s">
        <v>471</v>
      </c>
      <c r="C22" s="851">
        <v>201116</v>
      </c>
      <c r="D22" s="852">
        <f t="shared" si="13"/>
        <v>320156.47447999998</v>
      </c>
      <c r="E22" s="852">
        <f t="shared" si="2"/>
        <v>55606.679842999998</v>
      </c>
      <c r="F22" s="853">
        <f>40875.001653+14731.67819</f>
        <v>55606.679842999998</v>
      </c>
      <c r="G22" s="852">
        <f t="shared" si="3"/>
        <v>55606.679842999998</v>
      </c>
      <c r="H22" s="852">
        <f t="shared" si="4"/>
        <v>55606.679842999998</v>
      </c>
      <c r="I22" s="852"/>
      <c r="J22" s="852">
        <f t="shared" si="5"/>
        <v>19217.878000000001</v>
      </c>
      <c r="K22" s="853">
        <v>19217.878000000001</v>
      </c>
      <c r="L22" s="852"/>
      <c r="M22" s="852">
        <f t="shared" si="6"/>
        <v>201182.67434299999</v>
      </c>
      <c r="N22" s="853">
        <f>157255.51075+59728.416103</f>
        <v>216983.92685299998</v>
      </c>
      <c r="O22" s="852">
        <f t="shared" si="7"/>
        <v>15801.252509999998</v>
      </c>
      <c r="P22" s="854">
        <v>0</v>
      </c>
      <c r="Q22" s="852"/>
      <c r="R22" s="852"/>
      <c r="S22" s="855"/>
      <c r="T22" s="852">
        <f t="shared" si="8"/>
        <v>0</v>
      </c>
      <c r="U22" s="856"/>
      <c r="V22" s="856"/>
      <c r="W22" s="852">
        <f t="shared" si="9"/>
        <v>76372.651423999996</v>
      </c>
      <c r="X22" s="853">
        <f>76127.630376+929.973048</f>
        <v>77057.603424000001</v>
      </c>
      <c r="Y22" s="852">
        <f>322.224074+10.46</f>
        <v>332.68407399999995</v>
      </c>
      <c r="Z22" s="852"/>
      <c r="AA22" s="852"/>
      <c r="AB22" s="854">
        <v>684.952</v>
      </c>
      <c r="AC22" s="852"/>
      <c r="AD22" s="852"/>
      <c r="AE22" s="852">
        <v>8.3940000000000001</v>
      </c>
      <c r="AF22" s="852">
        <f>956.676306+13876.660426</f>
        <v>14833.336732</v>
      </c>
      <c r="AG22" s="852">
        <v>2.5139999999999998</v>
      </c>
      <c r="AH22" s="852">
        <v>272.05577799999998</v>
      </c>
      <c r="AI22" s="852"/>
      <c r="AJ22" s="852"/>
      <c r="AK22" s="852">
        <f t="shared" si="12"/>
        <v>15801.252509999998</v>
      </c>
      <c r="AL22" s="852">
        <v>198</v>
      </c>
      <c r="AM22" s="852">
        <f>35141.369524+12226.49826</f>
        <v>47367.867784000002</v>
      </c>
      <c r="AN22" s="852">
        <f t="shared" si="10"/>
        <v>0</v>
      </c>
      <c r="AO22" s="858">
        <f t="shared" si="1"/>
        <v>159.18995727838657</v>
      </c>
    </row>
    <row r="23" spans="1:41">
      <c r="C23" s="345"/>
      <c r="W23" s="346"/>
      <c r="X23" s="337" t="s">
        <v>651</v>
      </c>
      <c r="Y23" s="346"/>
    </row>
    <row r="24" spans="1:41" s="342" customFormat="1" ht="15.75" hidden="1">
      <c r="D24" s="347"/>
      <c r="E24" s="347"/>
      <c r="F24" s="348" t="s">
        <v>650</v>
      </c>
      <c r="K24" s="347" t="s">
        <v>648</v>
      </c>
      <c r="M24" s="347"/>
      <c r="N24" s="347" t="s">
        <v>649</v>
      </c>
      <c r="W24" s="347"/>
      <c r="X24" s="349"/>
      <c r="Y24" s="349"/>
      <c r="Z24" s="349"/>
      <c r="AA24" s="349"/>
      <c r="AB24" s="407" t="s">
        <v>652</v>
      </c>
      <c r="AC24" s="349"/>
      <c r="AD24" s="349"/>
      <c r="AE24" s="349"/>
      <c r="AF24" s="349"/>
      <c r="AG24" s="349"/>
      <c r="AH24" s="349"/>
      <c r="AI24" s="349"/>
      <c r="AK24" s="349" t="s">
        <v>720</v>
      </c>
      <c r="AL24" s="347"/>
    </row>
    <row r="25" spans="1:41" hidden="1">
      <c r="D25" s="346"/>
      <c r="E25" s="346"/>
      <c r="M25" s="346"/>
      <c r="N25" s="350"/>
      <c r="X25" s="351"/>
      <c r="Y25" s="351"/>
      <c r="Z25" s="351"/>
      <c r="AA25" s="351"/>
      <c r="AB25" s="408">
        <v>13876660426</v>
      </c>
      <c r="AC25" s="351"/>
      <c r="AD25" s="351"/>
      <c r="AE25" s="351"/>
      <c r="AF25" s="351"/>
      <c r="AG25" s="351"/>
      <c r="AH25" s="351"/>
      <c r="AI25" s="351"/>
      <c r="AK25" s="351" t="s">
        <v>82</v>
      </c>
    </row>
    <row r="26" spans="1:41" hidden="1">
      <c r="D26" s="346"/>
      <c r="X26" s="352"/>
      <c r="Y26" s="352"/>
      <c r="Z26" s="352"/>
      <c r="AB26" s="408" t="s">
        <v>459</v>
      </c>
      <c r="AC26" s="352"/>
      <c r="AD26" s="352"/>
      <c r="AE26" s="352"/>
      <c r="AF26" s="352"/>
      <c r="AH26" s="352"/>
      <c r="AI26" s="352"/>
      <c r="AK26" s="352" t="s">
        <v>83</v>
      </c>
    </row>
    <row r="27" spans="1:41" hidden="1">
      <c r="AB27" s="409">
        <v>272055778</v>
      </c>
    </row>
    <row r="28" spans="1:41" hidden="1"/>
  </sheetData>
  <sheetProtection selectLockedCells="1" selectUnlockedCells="1"/>
  <mergeCells count="21">
    <mergeCell ref="G10:I10"/>
    <mergeCell ref="J10:L10"/>
    <mergeCell ref="W10:Y10"/>
    <mergeCell ref="Z10:AH10"/>
    <mergeCell ref="M10:M11"/>
    <mergeCell ref="AL1:AO1"/>
    <mergeCell ref="A4:AO4"/>
    <mergeCell ref="A5:AO5"/>
    <mergeCell ref="E8:AN8"/>
    <mergeCell ref="E9:L9"/>
    <mergeCell ref="M9:AJ9"/>
    <mergeCell ref="AK7:AO7"/>
    <mergeCell ref="A8:A11"/>
    <mergeCell ref="B8:B11"/>
    <mergeCell ref="C8:C11"/>
    <mergeCell ref="D8:D11"/>
    <mergeCell ref="E10:E11"/>
    <mergeCell ref="AK9:AK11"/>
    <mergeCell ref="AL9:AL11"/>
    <mergeCell ref="AM9:AM11"/>
    <mergeCell ref="AO8:AO11"/>
  </mergeCells>
  <phoneticPr fontId="160" type="noConversion"/>
  <printOptions horizontalCentered="1"/>
  <pageMargins left="0.19685039370078741" right="0.19685039370078741" top="0.59055118110236227" bottom="0.59055118110236227" header="0" footer="0"/>
  <pageSetup paperSize="9" firstPageNumber="0" orientation="landscape"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9"/>
  <sheetViews>
    <sheetView topLeftCell="A7" zoomScaleNormal="100" workbookViewId="0">
      <selection activeCell="E31" sqref="E31"/>
    </sheetView>
  </sheetViews>
  <sheetFormatPr defaultRowHeight="15.75"/>
  <cols>
    <col min="1" max="1" width="55.140625" style="1" customWidth="1"/>
    <col min="2" max="2" width="12.42578125" style="1" customWidth="1"/>
    <col min="3" max="3" width="12.140625" style="1" customWidth="1"/>
    <col min="4" max="4" width="11.7109375" style="1" customWidth="1"/>
    <col min="5" max="5" width="12.140625" style="1" customWidth="1"/>
    <col min="6" max="6" width="38" style="1" customWidth="1"/>
    <col min="7" max="7" width="13.140625" style="1" customWidth="1"/>
    <col min="8" max="16384" width="9.140625" style="1"/>
  </cols>
  <sheetData>
    <row r="1" spans="1:7">
      <c r="A1" s="1" t="s">
        <v>92</v>
      </c>
      <c r="F1" s="557" t="s">
        <v>672</v>
      </c>
    </row>
    <row r="2" spans="1:7">
      <c r="A2" s="1" t="s">
        <v>472</v>
      </c>
    </row>
    <row r="3" spans="1:7" ht="6.75" customHeight="1"/>
    <row r="4" spans="1:7" ht="18.75">
      <c r="A4" s="1032" t="s">
        <v>479</v>
      </c>
      <c r="B4" s="1032"/>
      <c r="C4" s="1032"/>
      <c r="D4" s="1032"/>
      <c r="E4" s="1032"/>
      <c r="F4" s="1032"/>
      <c r="G4" s="433" t="s">
        <v>674</v>
      </c>
    </row>
    <row r="5" spans="1:7" ht="18.75">
      <c r="A5" s="1032" t="s">
        <v>480</v>
      </c>
      <c r="B5" s="1032"/>
      <c r="C5" s="1032"/>
      <c r="D5" s="1032"/>
      <c r="E5" s="1032"/>
      <c r="F5" s="1032"/>
    </row>
    <row r="6" spans="1:7">
      <c r="C6" s="358"/>
      <c r="D6" s="358"/>
      <c r="E6" s="359"/>
      <c r="F6" s="359" t="s">
        <v>473</v>
      </c>
    </row>
    <row r="7" spans="1:7">
      <c r="A7" s="1033" t="s">
        <v>474</v>
      </c>
      <c r="B7" s="1034" t="s">
        <v>315</v>
      </c>
      <c r="C7" s="1035" t="s">
        <v>435</v>
      </c>
      <c r="D7" s="1035"/>
      <c r="E7" s="1035"/>
      <c r="F7" s="1036" t="s">
        <v>146</v>
      </c>
    </row>
    <row r="8" spans="1:7" ht="47.25">
      <c r="A8" s="1033"/>
      <c r="B8" s="1034"/>
      <c r="C8" s="356" t="s">
        <v>133</v>
      </c>
      <c r="D8" s="361" t="s">
        <v>481</v>
      </c>
      <c r="E8" s="361" t="s">
        <v>482</v>
      </c>
      <c r="F8" s="1036"/>
    </row>
    <row r="9" spans="1:7" s="98" customFormat="1" ht="17.100000000000001" customHeight="1">
      <c r="A9" s="362" t="s">
        <v>483</v>
      </c>
      <c r="B9" s="423">
        <f t="shared" ref="B9:B21" si="0">+C9+D9+E9</f>
        <v>0</v>
      </c>
      <c r="C9" s="423">
        <v>0</v>
      </c>
      <c r="D9" s="421">
        <v>0</v>
      </c>
      <c r="E9" s="431">
        <v>0</v>
      </c>
      <c r="F9" s="364"/>
    </row>
    <row r="10" spans="1:7" s="98" customFormat="1" ht="17.100000000000001" customHeight="1">
      <c r="A10" s="365" t="s">
        <v>484</v>
      </c>
      <c r="B10" s="366">
        <f>+B11+B12+B13</f>
        <v>73886.849896000014</v>
      </c>
      <c r="C10" s="366">
        <f>+C11+C12+C13</f>
        <v>73886.849896000014</v>
      </c>
      <c r="D10" s="423">
        <f>+D11+D12+D13</f>
        <v>0</v>
      </c>
      <c r="E10" s="432">
        <v>0</v>
      </c>
      <c r="F10" s="367"/>
    </row>
    <row r="11" spans="1:7" s="79" customFormat="1" ht="17.100000000000001" customHeight="1">
      <c r="A11" s="368" t="s">
        <v>485</v>
      </c>
      <c r="B11" s="421">
        <f t="shared" si="0"/>
        <v>0</v>
      </c>
      <c r="C11" s="421">
        <v>0</v>
      </c>
      <c r="D11" s="421">
        <v>0</v>
      </c>
      <c r="E11" s="424">
        <v>0</v>
      </c>
      <c r="F11" s="369"/>
    </row>
    <row r="12" spans="1:7" s="79" customFormat="1" ht="17.100000000000001" customHeight="1">
      <c r="A12" s="368" t="s">
        <v>486</v>
      </c>
      <c r="B12" s="421">
        <f t="shared" si="0"/>
        <v>0</v>
      </c>
      <c r="C12" s="421">
        <v>0</v>
      </c>
      <c r="D12" s="422">
        <v>0</v>
      </c>
      <c r="E12" s="425">
        <v>0</v>
      </c>
      <c r="F12" s="369"/>
      <c r="G12" s="79">
        <v>2151</v>
      </c>
    </row>
    <row r="13" spans="1:7" s="79" customFormat="1" ht="17.100000000000001" customHeight="1">
      <c r="A13" s="368" t="s">
        <v>487</v>
      </c>
      <c r="B13" s="370">
        <f>SUM(B14:B25)</f>
        <v>73886.849896000014</v>
      </c>
      <c r="C13" s="370">
        <f>SUM(C14:C25)</f>
        <v>73886.849896000014</v>
      </c>
      <c r="D13" s="426">
        <v>0</v>
      </c>
      <c r="E13" s="426">
        <v>0</v>
      </c>
      <c r="F13" s="369"/>
      <c r="G13" s="79">
        <v>2252</v>
      </c>
    </row>
    <row r="14" spans="1:7" s="79" customFormat="1" ht="17.100000000000001" customHeight="1">
      <c r="A14" s="371" t="s">
        <v>488</v>
      </c>
      <c r="B14" s="363">
        <f t="shared" si="0"/>
        <v>32165.947499999998</v>
      </c>
      <c r="C14" s="420">
        <v>32165.947499999998</v>
      </c>
      <c r="D14" s="421">
        <v>0</v>
      </c>
      <c r="E14" s="427">
        <v>0</v>
      </c>
      <c r="F14" s="369" t="s">
        <v>489</v>
      </c>
    </row>
    <row r="15" spans="1:7" s="79" customFormat="1" ht="17.100000000000001" customHeight="1">
      <c r="A15" s="371" t="s">
        <v>490</v>
      </c>
      <c r="B15" s="363">
        <f t="shared" si="0"/>
        <v>1048.9659999999999</v>
      </c>
      <c r="C15" s="420">
        <v>1048.9659999999999</v>
      </c>
      <c r="D15" s="421">
        <v>0</v>
      </c>
      <c r="E15" s="427">
        <v>0</v>
      </c>
      <c r="F15" s="369" t="s">
        <v>673</v>
      </c>
    </row>
    <row r="16" spans="1:7" s="79" customFormat="1" ht="17.100000000000001" customHeight="1">
      <c r="A16" s="371" t="s">
        <v>491</v>
      </c>
      <c r="B16" s="363">
        <f t="shared" si="0"/>
        <v>1877.59</v>
      </c>
      <c r="C16" s="420">
        <v>1877.59</v>
      </c>
      <c r="D16" s="422">
        <v>0</v>
      </c>
      <c r="E16" s="425">
        <v>0</v>
      </c>
      <c r="F16" s="369"/>
      <c r="G16" s="79">
        <v>2306</v>
      </c>
    </row>
    <row r="17" spans="1:7" s="79" customFormat="1" ht="17.100000000000001" customHeight="1">
      <c r="A17" s="371" t="s">
        <v>492</v>
      </c>
      <c r="B17" s="422">
        <f t="shared" si="0"/>
        <v>0</v>
      </c>
      <c r="C17" s="422">
        <v>0</v>
      </c>
      <c r="D17" s="422">
        <v>0</v>
      </c>
      <c r="E17" s="425">
        <v>0</v>
      </c>
      <c r="F17" s="369"/>
    </row>
    <row r="18" spans="1:7" s="79" customFormat="1" ht="17.100000000000001" customHeight="1">
      <c r="A18" s="371" t="s">
        <v>493</v>
      </c>
      <c r="B18" s="363">
        <f t="shared" si="0"/>
        <v>25.606999999999999</v>
      </c>
      <c r="C18" s="420">
        <v>25.606999999999999</v>
      </c>
      <c r="D18" s="422">
        <v>0</v>
      </c>
      <c r="E18" s="425">
        <v>0</v>
      </c>
      <c r="F18" s="369"/>
    </row>
    <row r="19" spans="1:7" s="79" customFormat="1" ht="17.100000000000001" customHeight="1">
      <c r="A19" s="371" t="s">
        <v>494</v>
      </c>
      <c r="B19" s="363">
        <f t="shared" si="0"/>
        <v>5224.1540000000005</v>
      </c>
      <c r="C19" s="420">
        <v>5224.1540000000005</v>
      </c>
      <c r="D19" s="422">
        <v>0</v>
      </c>
      <c r="E19" s="425">
        <v>0</v>
      </c>
      <c r="F19" s="369"/>
      <c r="G19" s="79">
        <v>2317</v>
      </c>
    </row>
    <row r="20" spans="1:7" s="79" customFormat="1" ht="17.100000000000001" customHeight="1">
      <c r="A20" s="371" t="s">
        <v>495</v>
      </c>
      <c r="B20" s="363">
        <f t="shared" si="0"/>
        <v>86.789999999999992</v>
      </c>
      <c r="C20" s="420">
        <v>86.789999999999992</v>
      </c>
      <c r="D20" s="422">
        <v>0</v>
      </c>
      <c r="E20" s="425">
        <v>0</v>
      </c>
      <c r="F20" s="369"/>
      <c r="G20" s="79">
        <v>2321</v>
      </c>
    </row>
    <row r="21" spans="1:7" s="79" customFormat="1" ht="17.100000000000001" customHeight="1">
      <c r="A21" s="371" t="s">
        <v>496</v>
      </c>
      <c r="B21" s="422">
        <f t="shared" si="0"/>
        <v>0</v>
      </c>
      <c r="C21" s="422">
        <v>0</v>
      </c>
      <c r="D21" s="422">
        <v>0</v>
      </c>
      <c r="E21" s="425">
        <v>0</v>
      </c>
      <c r="F21" s="369"/>
      <c r="G21" s="79">
        <v>2322</v>
      </c>
    </row>
    <row r="22" spans="1:7" s="79" customFormat="1" ht="17.100000000000001" customHeight="1">
      <c r="A22" s="372" t="s">
        <v>497</v>
      </c>
      <c r="B22" s="363">
        <f>+C22+D22+E22</f>
        <v>26780.887395999998</v>
      </c>
      <c r="C22" s="420">
        <f>11964.9665+14815.920896</f>
        <v>26780.887395999998</v>
      </c>
      <c r="D22" s="428">
        <v>0</v>
      </c>
      <c r="E22" s="429">
        <v>0</v>
      </c>
      <c r="F22" s="369"/>
    </row>
    <row r="23" spans="1:7" s="79" customFormat="1" ht="17.100000000000001" customHeight="1">
      <c r="A23" s="372" t="s">
        <v>498</v>
      </c>
      <c r="B23" s="363">
        <f>+C23+D23+E23</f>
        <v>6323.9259999999995</v>
      </c>
      <c r="C23" s="420">
        <v>6323.9259999999995</v>
      </c>
      <c r="D23" s="428">
        <v>0</v>
      </c>
      <c r="E23" s="429">
        <v>0</v>
      </c>
      <c r="F23" s="369"/>
    </row>
    <row r="24" spans="1:7" s="79" customFormat="1" ht="17.100000000000001" customHeight="1">
      <c r="A24" s="372" t="s">
        <v>669</v>
      </c>
      <c r="B24" s="363">
        <f>+C24+D24+E24</f>
        <v>352.98199999999997</v>
      </c>
      <c r="C24" s="420">
        <v>352.98199999999997</v>
      </c>
      <c r="D24" s="428">
        <v>0</v>
      </c>
      <c r="E24" s="429">
        <v>0</v>
      </c>
      <c r="F24" s="369"/>
    </row>
    <row r="25" spans="1:7" s="79" customFormat="1" ht="17.100000000000001" customHeight="1">
      <c r="A25" s="371" t="s">
        <v>670</v>
      </c>
      <c r="B25" s="422">
        <f>+C25+D25+E25</f>
        <v>0</v>
      </c>
      <c r="C25" s="422">
        <v>0</v>
      </c>
      <c r="D25" s="422">
        <v>0</v>
      </c>
      <c r="E25" s="425">
        <v>0</v>
      </c>
      <c r="F25" s="369"/>
    </row>
    <row r="26" spans="1:7" s="79" customFormat="1" ht="17.100000000000001" customHeight="1">
      <c r="A26" s="371"/>
      <c r="B26" s="422">
        <f>+C26+D26+E26</f>
        <v>0</v>
      </c>
      <c r="C26" s="422">
        <v>0</v>
      </c>
      <c r="D26" s="422">
        <v>0</v>
      </c>
      <c r="E26" s="430">
        <v>0</v>
      </c>
      <c r="F26" s="369"/>
    </row>
    <row r="27" spans="1:7" s="79" customFormat="1" ht="8.25" customHeight="1">
      <c r="A27" s="373"/>
      <c r="B27" s="374"/>
      <c r="C27" s="375"/>
      <c r="D27" s="375"/>
      <c r="E27" s="376"/>
      <c r="F27" s="376"/>
    </row>
    <row r="28" spans="1:7" ht="16.5">
      <c r="C28" s="354"/>
      <c r="D28" s="122"/>
      <c r="E28" s="122" t="s">
        <v>671</v>
      </c>
    </row>
    <row r="29" spans="1:7">
      <c r="A29" s="96" t="s">
        <v>475</v>
      </c>
      <c r="B29" s="355"/>
      <c r="C29" s="6"/>
      <c r="D29" s="121"/>
      <c r="E29" s="125" t="s">
        <v>476</v>
      </c>
    </row>
  </sheetData>
  <sheetProtection selectLockedCells="1" selectUnlockedCells="1"/>
  <mergeCells count="6">
    <mergeCell ref="A4:F4"/>
    <mergeCell ref="A5:F5"/>
    <mergeCell ref="A7:A8"/>
    <mergeCell ref="B7:B8"/>
    <mergeCell ref="C7:E7"/>
    <mergeCell ref="F7:F8"/>
  </mergeCells>
  <phoneticPr fontId="160" type="noConversion"/>
  <pageMargins left="0.53" right="0.25" top="0" bottom="0.25" header="0.51180555555555551" footer="0.51180555555555551"/>
  <pageSetup paperSize="9" firstPageNumber="0"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H22"/>
  <sheetViews>
    <sheetView workbookViewId="0">
      <selection activeCell="K14" sqref="K14"/>
    </sheetView>
  </sheetViews>
  <sheetFormatPr defaultRowHeight="15.75"/>
  <cols>
    <col min="1" max="1" width="55" style="1" customWidth="1"/>
    <col min="2" max="2" width="12.140625" style="1" customWidth="1"/>
    <col min="3" max="3" width="11.7109375" style="1" customWidth="1"/>
    <col min="4" max="4" width="13.28515625" style="1" customWidth="1"/>
    <col min="5" max="5" width="11.28515625" style="1" customWidth="1"/>
    <col min="6" max="6" width="29.85546875" style="1" customWidth="1"/>
    <col min="7" max="7" width="9.140625" style="1"/>
    <col min="8" max="8" width="13.7109375" style="1" customWidth="1"/>
    <col min="9" max="16384" width="9.140625" style="1"/>
  </cols>
  <sheetData>
    <row r="1" spans="1:8" ht="23.25" customHeight="1">
      <c r="A1" s="1" t="s">
        <v>736</v>
      </c>
      <c r="F1" s="482" t="s">
        <v>741</v>
      </c>
    </row>
    <row r="2" spans="1:8">
      <c r="A2" s="1" t="s">
        <v>731</v>
      </c>
    </row>
    <row r="4" spans="1:8" ht="18.75">
      <c r="A4" s="1032" t="s">
        <v>733</v>
      </c>
      <c r="B4" s="1032"/>
      <c r="C4" s="1032"/>
      <c r="D4" s="1032"/>
      <c r="E4" s="1032"/>
      <c r="F4" s="1032"/>
    </row>
    <row r="5" spans="1:8">
      <c r="G5" s="480" t="s">
        <v>735</v>
      </c>
    </row>
    <row r="6" spans="1:8">
      <c r="F6" s="353" t="s">
        <v>502</v>
      </c>
    </row>
    <row r="7" spans="1:8">
      <c r="A7" s="1034" t="s">
        <v>474</v>
      </c>
      <c r="B7" s="1034" t="s">
        <v>315</v>
      </c>
      <c r="C7" s="1037" t="s">
        <v>435</v>
      </c>
      <c r="D7" s="1037"/>
      <c r="E7" s="1037"/>
      <c r="F7" s="1034" t="s">
        <v>146</v>
      </c>
    </row>
    <row r="8" spans="1:8" ht="31.5">
      <c r="A8" s="1034"/>
      <c r="B8" s="1034"/>
      <c r="C8" s="356" t="s">
        <v>503</v>
      </c>
      <c r="D8" s="378" t="s">
        <v>504</v>
      </c>
      <c r="E8" s="356" t="s">
        <v>505</v>
      </c>
      <c r="F8" s="1034"/>
    </row>
    <row r="9" spans="1:8" s="79" customFormat="1">
      <c r="A9" s="379" t="s">
        <v>483</v>
      </c>
      <c r="B9" s="380">
        <f>+C9+D9+E9</f>
        <v>41947.723140000002</v>
      </c>
      <c r="C9" s="380">
        <f>+C10+C15</f>
        <v>95</v>
      </c>
      <c r="D9" s="380">
        <f>+D10+D15</f>
        <v>41852.723140000002</v>
      </c>
      <c r="E9" s="380">
        <f>+E10+E15</f>
        <v>0</v>
      </c>
      <c r="F9" s="381" t="s">
        <v>506</v>
      </c>
    </row>
    <row r="10" spans="1:8" s="385" customFormat="1">
      <c r="A10" s="382" t="s">
        <v>507</v>
      </c>
      <c r="B10" s="383">
        <f>+C10+D10+E10</f>
        <v>41947.723140000002</v>
      </c>
      <c r="C10" s="383">
        <f>SUM(C11:C14)</f>
        <v>95</v>
      </c>
      <c r="D10" s="383">
        <f>SUM(D11:D14)</f>
        <v>41852.723140000002</v>
      </c>
      <c r="E10" s="383">
        <f>SUM(E11:E14)</f>
        <v>0</v>
      </c>
      <c r="F10" s="384" t="s">
        <v>508</v>
      </c>
    </row>
    <row r="11" spans="1:8" s="98" customFormat="1">
      <c r="A11" s="386" t="s">
        <v>509</v>
      </c>
      <c r="B11" s="387">
        <f>+C11+D11+E11</f>
        <v>41132.723140000002</v>
      </c>
      <c r="C11" s="392">
        <v>0</v>
      </c>
      <c r="D11" s="387">
        <f>16100+25032.72314</f>
        <v>41132.723140000002</v>
      </c>
      <c r="E11" s="387">
        <v>0</v>
      </c>
      <c r="F11" s="384" t="s">
        <v>734</v>
      </c>
      <c r="H11" s="98">
        <v>62554.39</v>
      </c>
    </row>
    <row r="12" spans="1:8" s="79" customFormat="1">
      <c r="A12" s="386" t="s">
        <v>510</v>
      </c>
      <c r="B12" s="387">
        <f t="shared" ref="B12:B17" si="0">+C12+D12+E12</f>
        <v>0</v>
      </c>
      <c r="C12" s="392">
        <v>0</v>
      </c>
      <c r="D12" s="387">
        <v>0</v>
      </c>
      <c r="E12" s="387">
        <v>0</v>
      </c>
      <c r="F12" s="384"/>
      <c r="H12" s="79">
        <v>26491.02</v>
      </c>
    </row>
    <row r="13" spans="1:8" s="79" customFormat="1">
      <c r="A13" s="386" t="s">
        <v>511</v>
      </c>
      <c r="B13" s="387">
        <f>+C13+D13+E13</f>
        <v>815</v>
      </c>
      <c r="C13" s="387">
        <v>95</v>
      </c>
      <c r="D13" s="387">
        <v>720</v>
      </c>
      <c r="E13" s="387">
        <v>0</v>
      </c>
      <c r="F13" s="384"/>
      <c r="H13" s="79">
        <f>+H12+H11</f>
        <v>89045.41</v>
      </c>
    </row>
    <row r="14" spans="1:8" s="79" customFormat="1">
      <c r="A14" s="388" t="s">
        <v>512</v>
      </c>
      <c r="B14" s="389">
        <f>+C14+D14+E14</f>
        <v>0</v>
      </c>
      <c r="C14" s="389">
        <v>0</v>
      </c>
      <c r="D14" s="392">
        <v>0</v>
      </c>
      <c r="E14" s="389">
        <v>0</v>
      </c>
      <c r="F14" s="390"/>
    </row>
    <row r="15" spans="1:8" s="385" customFormat="1">
      <c r="A15" s="391" t="s">
        <v>513</v>
      </c>
      <c r="B15" s="392">
        <f>+C15+D15+E15</f>
        <v>0</v>
      </c>
      <c r="C15" s="392">
        <v>0</v>
      </c>
      <c r="D15" s="392">
        <v>0</v>
      </c>
      <c r="E15" s="392">
        <v>0</v>
      </c>
      <c r="F15" s="393"/>
    </row>
    <row r="16" spans="1:8" s="385" customFormat="1">
      <c r="A16" s="391" t="s">
        <v>514</v>
      </c>
      <c r="B16" s="392">
        <f>+B17+B18</f>
        <v>37091.218000000001</v>
      </c>
      <c r="C16" s="392">
        <f>+C17+C18</f>
        <v>0</v>
      </c>
      <c r="D16" s="392">
        <f>+D17+D18</f>
        <v>37091.218000000001</v>
      </c>
      <c r="E16" s="392">
        <v>0</v>
      </c>
      <c r="F16" s="394"/>
    </row>
    <row r="17" spans="1:8" s="385" customFormat="1">
      <c r="A17" s="388" t="s">
        <v>515</v>
      </c>
      <c r="B17" s="389">
        <f t="shared" si="0"/>
        <v>0</v>
      </c>
      <c r="C17" s="392">
        <v>0</v>
      </c>
      <c r="D17" s="392">
        <v>0</v>
      </c>
      <c r="E17" s="392">
        <v>0</v>
      </c>
      <c r="F17" s="390"/>
      <c r="H17" s="385">
        <v>25032.723139999998</v>
      </c>
    </row>
    <row r="18" spans="1:8" s="385" customFormat="1">
      <c r="A18" s="388" t="s">
        <v>516</v>
      </c>
      <c r="B18" s="389">
        <f>+C18+D18+E18</f>
        <v>37091.218000000001</v>
      </c>
      <c r="C18" s="392">
        <v>0</v>
      </c>
      <c r="D18" s="389">
        <v>37091.218000000001</v>
      </c>
      <c r="E18" s="392">
        <v>0</v>
      </c>
      <c r="F18" s="392"/>
    </row>
    <row r="19" spans="1:8" s="79" customFormat="1">
      <c r="A19" s="395"/>
      <c r="B19" s="396"/>
      <c r="C19" s="396"/>
      <c r="D19" s="396"/>
      <c r="E19" s="396"/>
      <c r="F19" s="397"/>
    </row>
    <row r="20" spans="1:8" s="79" customFormat="1">
      <c r="A20" s="398"/>
      <c r="B20" s="399"/>
      <c r="C20" s="399"/>
      <c r="D20" s="399"/>
      <c r="E20" s="399"/>
      <c r="F20" s="400"/>
    </row>
    <row r="21" spans="1:8" ht="16.5">
      <c r="E21" s="122" t="s">
        <v>732</v>
      </c>
    </row>
    <row r="22" spans="1:8">
      <c r="A22" s="96" t="s">
        <v>475</v>
      </c>
      <c r="B22" s="6"/>
      <c r="E22" s="125" t="s">
        <v>476</v>
      </c>
    </row>
  </sheetData>
  <sheetProtection selectLockedCells="1" selectUnlockedCells="1"/>
  <mergeCells count="5">
    <mergeCell ref="A4:F4"/>
    <mergeCell ref="A7:A8"/>
    <mergeCell ref="B7:B8"/>
    <mergeCell ref="C7:E7"/>
    <mergeCell ref="F7:F8"/>
  </mergeCells>
  <phoneticPr fontId="160" type="noConversion"/>
  <pageMargins left="0.75" right="0.5" top="0.5" bottom="0.5" header="0.51180555555555551" footer="0.51180555555555551"/>
  <pageSetup paperSize="9" firstPageNumber="0" orientation="landscape" horizontalDpi="300" verticalDpi="300"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25"/>
  <sheetViews>
    <sheetView topLeftCell="A2" workbookViewId="0">
      <selection activeCell="J1" sqref="J1"/>
    </sheetView>
  </sheetViews>
  <sheetFormatPr defaultRowHeight="15.75"/>
  <cols>
    <col min="1" max="1" width="6.5703125" style="1" customWidth="1"/>
    <col min="2" max="2" width="52.140625" style="1" customWidth="1"/>
    <col min="3" max="3" width="16.140625" style="1" customWidth="1"/>
    <col min="4" max="4" width="16.42578125" style="1" customWidth="1"/>
    <col min="5" max="6" width="16.42578125" style="1" hidden="1" customWidth="1"/>
    <col min="7" max="7" width="16" style="1" customWidth="1"/>
    <col min="8" max="9" width="16" style="1" hidden="1" customWidth="1"/>
    <col min="10" max="10" width="28.5703125" style="1" customWidth="1"/>
    <col min="11" max="11" width="9.140625" style="1"/>
    <col min="12" max="12" width="22.85546875" style="1" customWidth="1"/>
    <col min="13" max="13" width="13.7109375" style="1" customWidth="1"/>
    <col min="14" max="16384" width="9.140625" style="1"/>
  </cols>
  <sheetData>
    <row r="1" spans="1:12" ht="19.5" customHeight="1">
      <c r="B1" s="1" t="s">
        <v>92</v>
      </c>
      <c r="J1" s="482" t="s">
        <v>737</v>
      </c>
    </row>
    <row r="2" spans="1:12">
      <c r="B2" s="1" t="s">
        <v>472</v>
      </c>
    </row>
    <row r="3" spans="1:12">
      <c r="K3" s="480" t="s">
        <v>729</v>
      </c>
    </row>
    <row r="4" spans="1:12" ht="18.75">
      <c r="B4" s="1032" t="s">
        <v>517</v>
      </c>
      <c r="C4" s="1032"/>
      <c r="D4" s="1032"/>
      <c r="E4" s="1032"/>
      <c r="F4" s="1032"/>
      <c r="G4" s="1032"/>
      <c r="H4" s="1032"/>
      <c r="I4" s="1032"/>
      <c r="J4" s="1032"/>
    </row>
    <row r="6" spans="1:12">
      <c r="J6" s="353" t="s">
        <v>502</v>
      </c>
    </row>
    <row r="7" spans="1:12">
      <c r="A7" s="1038" t="s">
        <v>39</v>
      </c>
      <c r="B7" s="1041" t="s">
        <v>474</v>
      </c>
      <c r="C7" s="1034" t="s">
        <v>315</v>
      </c>
      <c r="D7" s="1037" t="s">
        <v>435</v>
      </c>
      <c r="E7" s="1037"/>
      <c r="F7" s="1037"/>
      <c r="G7" s="1037"/>
      <c r="H7" s="476"/>
      <c r="I7" s="476"/>
      <c r="J7" s="401" t="s">
        <v>146</v>
      </c>
    </row>
    <row r="8" spans="1:12">
      <c r="A8" s="1038"/>
      <c r="B8" s="1042"/>
      <c r="C8" s="1034"/>
      <c r="D8" s="356" t="s">
        <v>503</v>
      </c>
      <c r="E8" s="434" t="s">
        <v>726</v>
      </c>
      <c r="F8" s="434" t="s">
        <v>727</v>
      </c>
      <c r="G8" s="361" t="s">
        <v>47</v>
      </c>
      <c r="H8" s="477"/>
      <c r="I8" s="477"/>
      <c r="J8" s="360"/>
    </row>
    <row r="9" spans="1:12" s="98" customFormat="1">
      <c r="A9" s="475" t="s">
        <v>51</v>
      </c>
      <c r="B9" s="457">
        <v>1</v>
      </c>
      <c r="C9" s="458" t="s">
        <v>499</v>
      </c>
      <c r="D9" s="459">
        <v>3</v>
      </c>
      <c r="E9" s="459"/>
      <c r="F9" s="459"/>
      <c r="G9" s="459">
        <v>4</v>
      </c>
      <c r="H9" s="459"/>
      <c r="I9" s="459"/>
      <c r="J9" s="460">
        <v>5</v>
      </c>
    </row>
    <row r="10" spans="1:12" s="79" customFormat="1">
      <c r="A10" s="461"/>
      <c r="B10" s="462" t="s">
        <v>721</v>
      </c>
      <c r="C10" s="463">
        <f>+D10+G10</f>
        <v>129176.07999999996</v>
      </c>
      <c r="D10" s="478">
        <f>+E10-F10</f>
        <v>-4754.5300000000279</v>
      </c>
      <c r="E10" s="464">
        <v>443111.47</v>
      </c>
      <c r="F10" s="464">
        <v>447866</v>
      </c>
      <c r="G10" s="463">
        <f>H10-I10</f>
        <v>133930.60999999999</v>
      </c>
      <c r="H10" s="463">
        <f>258166.13+532280.48</f>
        <v>790446.61</v>
      </c>
      <c r="I10" s="463">
        <v>656516</v>
      </c>
      <c r="J10" s="456"/>
      <c r="L10" s="402">
        <v>422340.37027199997</v>
      </c>
    </row>
    <row r="11" spans="1:12" s="79" customFormat="1">
      <c r="A11" s="461">
        <v>1</v>
      </c>
      <c r="B11" s="465" t="s">
        <v>722</v>
      </c>
      <c r="C11" s="466">
        <f>+D11+G11</f>
        <v>115857.57703199999</v>
      </c>
      <c r="D11" s="466"/>
      <c r="E11" s="466"/>
      <c r="F11" s="466"/>
      <c r="G11" s="466">
        <f>+G10-G17-G21-G15</f>
        <v>115857.57703199999</v>
      </c>
      <c r="H11" s="466"/>
      <c r="I11" s="466"/>
      <c r="J11" s="456"/>
      <c r="K11" s="79" t="s">
        <v>518</v>
      </c>
      <c r="L11" s="402">
        <v>244314.23001599999</v>
      </c>
    </row>
    <row r="12" spans="1:12" s="79" customFormat="1" hidden="1">
      <c r="A12" s="461"/>
      <c r="B12" s="467" t="s">
        <v>519</v>
      </c>
      <c r="C12" s="468">
        <f>D12+G12</f>
        <v>0</v>
      </c>
      <c r="D12" s="468"/>
      <c r="E12" s="468"/>
      <c r="F12" s="468"/>
      <c r="G12" s="468"/>
      <c r="H12" s="468"/>
      <c r="I12" s="468"/>
      <c r="J12" s="467"/>
      <c r="L12" s="402"/>
    </row>
    <row r="13" spans="1:12" s="79" customFormat="1" hidden="1">
      <c r="A13" s="461"/>
      <c r="B13" s="467" t="s">
        <v>520</v>
      </c>
      <c r="C13" s="468">
        <f>D13+G13</f>
        <v>0</v>
      </c>
      <c r="D13" s="468"/>
      <c r="E13" s="468"/>
      <c r="F13" s="468"/>
      <c r="G13" s="468"/>
      <c r="H13" s="468"/>
      <c r="I13" s="468"/>
      <c r="J13" s="467"/>
      <c r="L13" s="402"/>
    </row>
    <row r="14" spans="1:12" s="79" customFormat="1" ht="47.25" hidden="1">
      <c r="A14" s="461"/>
      <c r="B14" s="469" t="s">
        <v>521</v>
      </c>
      <c r="C14" s="468">
        <f>D14+G14</f>
        <v>0</v>
      </c>
      <c r="D14" s="468"/>
      <c r="E14" s="468"/>
      <c r="F14" s="468"/>
      <c r="G14" s="468"/>
      <c r="H14" s="468"/>
      <c r="I14" s="468"/>
      <c r="J14" s="467"/>
      <c r="L14" s="402"/>
    </row>
    <row r="15" spans="1:12" s="98" customFormat="1">
      <c r="A15" s="461">
        <v>2</v>
      </c>
      <c r="B15" s="465" t="s">
        <v>723</v>
      </c>
      <c r="C15" s="466">
        <f>D15+G15</f>
        <v>500</v>
      </c>
      <c r="D15" s="466"/>
      <c r="E15" s="466"/>
      <c r="F15" s="466"/>
      <c r="G15" s="466">
        <v>500</v>
      </c>
      <c r="H15" s="466"/>
      <c r="I15" s="466"/>
      <c r="J15" s="456"/>
      <c r="K15" s="98" t="s">
        <v>522</v>
      </c>
      <c r="L15" s="403">
        <v>582115.17734900001</v>
      </c>
    </row>
    <row r="16" spans="1:12" s="79" customFormat="1" ht="31.5">
      <c r="A16" s="461">
        <v>3</v>
      </c>
      <c r="B16" s="470" t="s">
        <v>728</v>
      </c>
      <c r="C16" s="466">
        <f t="shared" ref="C16:C21" si="0">+D16+G16</f>
        <v>-4754.5300000000279</v>
      </c>
      <c r="D16" s="479">
        <f>+D10</f>
        <v>-4754.5300000000279</v>
      </c>
      <c r="E16" s="471"/>
      <c r="F16" s="471"/>
      <c r="G16" s="466"/>
      <c r="H16" s="466"/>
      <c r="I16" s="466"/>
      <c r="J16" s="456"/>
    </row>
    <row r="17" spans="1:10" s="79" customFormat="1" ht="31.5">
      <c r="A17" s="461">
        <v>4</v>
      </c>
      <c r="B17" s="470" t="s">
        <v>730</v>
      </c>
      <c r="C17" s="466">
        <f t="shared" si="0"/>
        <v>16373.032968</v>
      </c>
      <c r="D17" s="472"/>
      <c r="E17" s="472"/>
      <c r="F17" s="472"/>
      <c r="G17" s="466">
        <v>16373.032968</v>
      </c>
      <c r="H17" s="466"/>
      <c r="I17" s="466"/>
      <c r="J17" s="456"/>
    </row>
    <row r="18" spans="1:10" s="79" customFormat="1">
      <c r="A18" s="461">
        <v>5</v>
      </c>
      <c r="B18" s="465" t="s">
        <v>724</v>
      </c>
      <c r="C18" s="466">
        <f t="shared" si="0"/>
        <v>0</v>
      </c>
      <c r="D18" s="466"/>
      <c r="E18" s="466"/>
      <c r="F18" s="466"/>
      <c r="G18" s="466"/>
      <c r="H18" s="466"/>
      <c r="I18" s="466"/>
      <c r="J18" s="456"/>
    </row>
    <row r="19" spans="1:10" s="79" customFormat="1">
      <c r="A19" s="461"/>
      <c r="B19" s="473" t="s">
        <v>523</v>
      </c>
      <c r="C19" s="466">
        <f t="shared" si="0"/>
        <v>0</v>
      </c>
      <c r="D19" s="466"/>
      <c r="E19" s="466"/>
      <c r="F19" s="466"/>
      <c r="G19" s="466"/>
      <c r="H19" s="466"/>
      <c r="I19" s="466"/>
      <c r="J19" s="456"/>
    </row>
    <row r="20" spans="1:10" s="79" customFormat="1">
      <c r="A20" s="461"/>
      <c r="B20" s="473" t="s">
        <v>524</v>
      </c>
      <c r="C20" s="466">
        <f t="shared" si="0"/>
        <v>0</v>
      </c>
      <c r="D20" s="466"/>
      <c r="E20" s="466"/>
      <c r="F20" s="466"/>
      <c r="G20" s="466"/>
      <c r="H20" s="466"/>
      <c r="I20" s="466"/>
      <c r="J20" s="456"/>
    </row>
    <row r="21" spans="1:10" s="79" customFormat="1">
      <c r="A21" s="461">
        <v>6</v>
      </c>
      <c r="B21" s="465" t="s">
        <v>725</v>
      </c>
      <c r="C21" s="466">
        <f t="shared" si="0"/>
        <v>1200</v>
      </c>
      <c r="D21" s="466"/>
      <c r="E21" s="466"/>
      <c r="F21" s="466"/>
      <c r="G21" s="466">
        <v>1200</v>
      </c>
      <c r="H21" s="466"/>
      <c r="I21" s="466"/>
      <c r="J21" s="474"/>
    </row>
    <row r="22" spans="1:10" s="79" customFormat="1">
      <c r="B22" s="404"/>
      <c r="C22" s="405"/>
      <c r="D22" s="405"/>
      <c r="E22" s="405"/>
      <c r="F22" s="405"/>
      <c r="G22" s="405"/>
      <c r="H22" s="405"/>
      <c r="I22" s="405"/>
      <c r="J22" s="406"/>
    </row>
    <row r="23" spans="1:10">
      <c r="D23" s="354"/>
      <c r="E23" s="354"/>
      <c r="F23" s="354"/>
    </row>
    <row r="24" spans="1:10" ht="16.5">
      <c r="G24" s="1039" t="s">
        <v>720</v>
      </c>
      <c r="H24" s="1039"/>
      <c r="I24" s="1039"/>
      <c r="J24" s="1039"/>
    </row>
    <row r="25" spans="1:10" s="98" customFormat="1">
      <c r="B25" s="96" t="s">
        <v>475</v>
      </c>
      <c r="C25" s="96"/>
      <c r="G25" s="1040" t="s">
        <v>476</v>
      </c>
      <c r="H25" s="1040"/>
      <c r="I25" s="1040"/>
      <c r="J25" s="1040"/>
    </row>
  </sheetData>
  <sheetProtection selectLockedCells="1" selectUnlockedCells="1"/>
  <mergeCells count="7">
    <mergeCell ref="A7:A8"/>
    <mergeCell ref="G24:J24"/>
    <mergeCell ref="G25:J25"/>
    <mergeCell ref="B4:J4"/>
    <mergeCell ref="B7:B8"/>
    <mergeCell ref="C7:C8"/>
    <mergeCell ref="D7:G7"/>
  </mergeCells>
  <phoneticPr fontId="160" type="noConversion"/>
  <pageMargins left="0.75" right="0.5" top="0.5" bottom="0.25" header="0" footer="0"/>
  <pageSetup paperSize="9" firstPageNumber="0" orientation="landscape" horizontalDpi="300" verticalDpi="300"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A19" workbookViewId="0">
      <selection activeCell="B79" sqref="B79"/>
    </sheetView>
  </sheetViews>
  <sheetFormatPr defaultRowHeight="15"/>
  <cols>
    <col min="1" max="1" width="4.5703125" style="436" customWidth="1"/>
    <col min="2" max="2" width="43" style="436" customWidth="1"/>
    <col min="3" max="3" width="12.28515625" style="436" customWidth="1"/>
    <col min="4" max="4" width="14.7109375" style="436" customWidth="1"/>
    <col min="5" max="5" width="12.85546875" style="436" customWidth="1"/>
    <col min="6" max="6" width="15" style="436" customWidth="1"/>
    <col min="7" max="7" width="11" style="436" customWidth="1"/>
    <col min="8" max="8" width="13.85546875" style="436" customWidth="1"/>
    <col min="9" max="9" width="12.85546875" style="436" customWidth="1"/>
    <col min="10" max="10" width="9.140625" style="436"/>
    <col min="11" max="11" width="13.85546875" style="436" bestFit="1" customWidth="1"/>
    <col min="12" max="16384" width="9.140625" style="436"/>
  </cols>
  <sheetData>
    <row r="1" spans="1:11" ht="16.5">
      <c r="A1" s="1046" t="s">
        <v>92</v>
      </c>
      <c r="B1" s="1046"/>
      <c r="C1" s="435"/>
      <c r="D1" s="435"/>
      <c r="E1" s="435"/>
      <c r="F1" s="435"/>
      <c r="G1" s="435"/>
      <c r="H1" s="1047" t="s">
        <v>675</v>
      </c>
      <c r="I1" s="1047"/>
    </row>
    <row r="2" spans="1:11" ht="15.75">
      <c r="A2" s="435"/>
      <c r="B2" s="435"/>
      <c r="C2" s="435"/>
      <c r="D2" s="435"/>
      <c r="E2" s="435"/>
      <c r="F2" s="435"/>
      <c r="G2" s="435"/>
      <c r="H2" s="435"/>
      <c r="I2" s="435"/>
    </row>
    <row r="3" spans="1:11" ht="18.75">
      <c r="A3" s="1048" t="s">
        <v>676</v>
      </c>
      <c r="B3" s="1048"/>
      <c r="C3" s="1048"/>
      <c r="D3" s="1048"/>
      <c r="E3" s="1048"/>
      <c r="F3" s="1048"/>
      <c r="G3" s="1048"/>
      <c r="H3" s="1048"/>
      <c r="I3" s="1048"/>
    </row>
    <row r="4" spans="1:11" ht="15.75">
      <c r="A4" s="435"/>
      <c r="B4" s="435"/>
      <c r="C4" s="435"/>
      <c r="D4" s="435"/>
      <c r="E4" s="435"/>
      <c r="F4" s="435"/>
      <c r="G4" s="435"/>
      <c r="H4" s="435"/>
      <c r="I4" s="435"/>
      <c r="J4" s="448" t="s">
        <v>711</v>
      </c>
    </row>
    <row r="5" spans="1:11" ht="15.75">
      <c r="A5" s="435"/>
      <c r="B5" s="435"/>
      <c r="C5" s="435"/>
      <c r="D5" s="435"/>
      <c r="E5" s="435"/>
      <c r="F5" s="435"/>
      <c r="G5" s="435"/>
      <c r="H5" s="1049" t="s">
        <v>1</v>
      </c>
      <c r="I5" s="1049"/>
    </row>
    <row r="6" spans="1:11" ht="23.25" customHeight="1">
      <c r="A6" s="1050" t="s">
        <v>39</v>
      </c>
      <c r="B6" s="1050" t="s">
        <v>474</v>
      </c>
      <c r="C6" s="1050" t="s">
        <v>677</v>
      </c>
      <c r="D6" s="1050"/>
      <c r="E6" s="1050" t="s">
        <v>678</v>
      </c>
      <c r="F6" s="1050"/>
      <c r="G6" s="1050" t="s">
        <v>679</v>
      </c>
      <c r="H6" s="1050"/>
      <c r="I6" s="1050" t="s">
        <v>146</v>
      </c>
    </row>
    <row r="7" spans="1:11" ht="24" customHeight="1">
      <c r="A7" s="1050"/>
      <c r="B7" s="1050"/>
      <c r="C7" s="454" t="s">
        <v>680</v>
      </c>
      <c r="D7" s="454" t="s">
        <v>681</v>
      </c>
      <c r="E7" s="454" t="s">
        <v>680</v>
      </c>
      <c r="F7" s="454" t="s">
        <v>681</v>
      </c>
      <c r="G7" s="454" t="s">
        <v>680</v>
      </c>
      <c r="H7" s="454" t="s">
        <v>681</v>
      </c>
      <c r="I7" s="1050"/>
    </row>
    <row r="8" spans="1:11" ht="24" customHeight="1">
      <c r="A8" s="454"/>
      <c r="B8" s="454" t="s">
        <v>718</v>
      </c>
      <c r="C8" s="455">
        <f>+C9+C50+C71</f>
        <v>516600.26981799997</v>
      </c>
      <c r="D8" s="455">
        <f t="shared" ref="D8:H8" si="0">+D9+D50+D71</f>
        <v>112209.983469</v>
      </c>
      <c r="E8" s="455">
        <f t="shared" si="0"/>
        <v>0</v>
      </c>
      <c r="F8" s="455">
        <f t="shared" si="0"/>
        <v>48600.793614000002</v>
      </c>
      <c r="G8" s="455">
        <f t="shared" si="0"/>
        <v>516600.26981799997</v>
      </c>
      <c r="H8" s="455">
        <f t="shared" si="0"/>
        <v>63609.189855000004</v>
      </c>
      <c r="I8" s="454"/>
    </row>
    <row r="9" spans="1:11" ht="31.5">
      <c r="A9" s="437" t="s">
        <v>108</v>
      </c>
      <c r="B9" s="438" t="s">
        <v>682</v>
      </c>
      <c r="C9" s="439"/>
      <c r="D9" s="440">
        <f>D10+D13+D18+D48</f>
        <v>112209.983469</v>
      </c>
      <c r="E9" s="440"/>
      <c r="F9" s="440">
        <f>F10+F13+F18+F48</f>
        <v>48600.793614000002</v>
      </c>
      <c r="G9" s="440"/>
      <c r="H9" s="440">
        <f>H10+H13+H18+H48</f>
        <v>63609.189855000004</v>
      </c>
      <c r="I9" s="441"/>
      <c r="J9" s="442"/>
      <c r="K9" s="442"/>
    </row>
    <row r="10" spans="1:11" ht="15.75">
      <c r="A10" s="437">
        <v>1</v>
      </c>
      <c r="B10" s="443" t="s">
        <v>683</v>
      </c>
      <c r="C10" s="440"/>
      <c r="D10" s="440">
        <f>D11+D12</f>
        <v>71535.733997999996</v>
      </c>
      <c r="E10" s="440"/>
      <c r="F10" s="440">
        <f>F11+F12</f>
        <v>30523.970281000002</v>
      </c>
      <c r="G10" s="440"/>
      <c r="H10" s="440">
        <f>H11+H12</f>
        <v>41011.763717000002</v>
      </c>
      <c r="I10" s="443"/>
    </row>
    <row r="11" spans="1:11" ht="15.75">
      <c r="A11" s="444" t="s">
        <v>334</v>
      </c>
      <c r="B11" s="441" t="s">
        <v>684</v>
      </c>
      <c r="C11" s="439"/>
      <c r="D11" s="439">
        <f>71456.705388</f>
        <v>71456.705388000002</v>
      </c>
      <c r="E11" s="439"/>
      <c r="F11" s="439">
        <f>30523.970281</f>
        <v>30523.970281000002</v>
      </c>
      <c r="G11" s="439"/>
      <c r="H11" s="439">
        <f>D11-F11</f>
        <v>40932.735107</v>
      </c>
      <c r="I11" s="441"/>
    </row>
    <row r="12" spans="1:11" ht="15.75">
      <c r="A12" s="444" t="s">
        <v>336</v>
      </c>
      <c r="B12" s="441" t="s">
        <v>685</v>
      </c>
      <c r="C12" s="439"/>
      <c r="D12" s="439">
        <v>79.02861</v>
      </c>
      <c r="E12" s="439"/>
      <c r="F12" s="439">
        <v>0</v>
      </c>
      <c r="G12" s="439"/>
      <c r="H12" s="439">
        <f>D12-F12</f>
        <v>79.02861</v>
      </c>
      <c r="I12" s="441"/>
    </row>
    <row r="13" spans="1:11" ht="15.75">
      <c r="A13" s="437">
        <v>2</v>
      </c>
      <c r="B13" s="443" t="s">
        <v>686</v>
      </c>
      <c r="C13" s="440"/>
      <c r="D13" s="440">
        <f>D14+D15+D16+D17</f>
        <v>7479.174403</v>
      </c>
      <c r="E13" s="440"/>
      <c r="F13" s="440">
        <f>F14+F15+F16</f>
        <v>1780.7681350000003</v>
      </c>
      <c r="G13" s="440"/>
      <c r="H13" s="440">
        <f>H14+H15+H16+H17</f>
        <v>5698.4062679999997</v>
      </c>
      <c r="I13" s="441"/>
      <c r="K13" s="442"/>
    </row>
    <row r="14" spans="1:11" ht="15.75">
      <c r="A14" s="444" t="s">
        <v>372</v>
      </c>
      <c r="B14" s="441" t="s">
        <v>684</v>
      </c>
      <c r="C14" s="439"/>
      <c r="D14" s="439">
        <v>382.53500000000003</v>
      </c>
      <c r="E14" s="439"/>
      <c r="F14" s="439">
        <v>382.53500000000003</v>
      </c>
      <c r="G14" s="439"/>
      <c r="H14" s="439">
        <f>D14-F14</f>
        <v>0</v>
      </c>
      <c r="I14" s="441"/>
    </row>
    <row r="15" spans="1:11" ht="15.75">
      <c r="A15" s="444" t="s">
        <v>374</v>
      </c>
      <c r="B15" s="441" t="s">
        <v>687</v>
      </c>
      <c r="C15" s="439"/>
      <c r="D15" s="439">
        <v>676.79105000000004</v>
      </c>
      <c r="E15" s="439"/>
      <c r="F15" s="439">
        <v>676.79105000000004</v>
      </c>
      <c r="G15" s="439"/>
      <c r="H15" s="439">
        <f>D15-F15</f>
        <v>0</v>
      </c>
      <c r="I15" s="441"/>
    </row>
    <row r="16" spans="1:11" ht="15.75">
      <c r="A16" s="444" t="s">
        <v>376</v>
      </c>
      <c r="B16" s="441" t="s">
        <v>688</v>
      </c>
      <c r="C16" s="439"/>
      <c r="D16" s="439">
        <v>825.37427300000002</v>
      </c>
      <c r="E16" s="439"/>
      <c r="F16" s="439">
        <v>721.44208500000002</v>
      </c>
      <c r="G16" s="439"/>
      <c r="H16" s="439">
        <f>D16-F16</f>
        <v>103.932188</v>
      </c>
      <c r="I16" s="441"/>
      <c r="K16" s="442"/>
    </row>
    <row r="17" spans="1:11" ht="15.75">
      <c r="A17" s="444" t="s">
        <v>647</v>
      </c>
      <c r="B17" s="441" t="s">
        <v>689</v>
      </c>
      <c r="C17" s="439"/>
      <c r="D17" s="439">
        <v>5594.47408</v>
      </c>
      <c r="E17" s="439"/>
      <c r="F17" s="439"/>
      <c r="G17" s="439"/>
      <c r="H17" s="439">
        <f>D17-F17</f>
        <v>5594.47408</v>
      </c>
      <c r="I17" s="441"/>
    </row>
    <row r="18" spans="1:11" ht="15.75">
      <c r="A18" s="437">
        <v>3</v>
      </c>
      <c r="B18" s="443" t="s">
        <v>690</v>
      </c>
      <c r="C18" s="439"/>
      <c r="D18" s="440">
        <f>D19+D26+D33+D36+D39+D44</f>
        <v>27984.788558</v>
      </c>
      <c r="E18" s="439"/>
      <c r="F18" s="440">
        <f>F19+F26+F33+F36+F39+F44</f>
        <v>13236.419058000001</v>
      </c>
      <c r="G18" s="440"/>
      <c r="H18" s="440">
        <f>H19+H26+H33+H36+H39+H44</f>
        <v>14748.369500000003</v>
      </c>
      <c r="I18" s="439"/>
      <c r="K18" s="442"/>
    </row>
    <row r="19" spans="1:11" ht="15.75">
      <c r="A19" s="437" t="s">
        <v>379</v>
      </c>
      <c r="B19" s="443" t="s">
        <v>684</v>
      </c>
      <c r="C19" s="440"/>
      <c r="D19" s="440">
        <f>D20+D23</f>
        <v>24446.619082999998</v>
      </c>
      <c r="E19" s="440"/>
      <c r="F19" s="440">
        <f>F20+F23</f>
        <v>12880.913903000001</v>
      </c>
      <c r="G19" s="440"/>
      <c r="H19" s="440">
        <f>H20+H23</f>
        <v>11565.705180000001</v>
      </c>
      <c r="I19" s="443"/>
      <c r="K19" s="442"/>
    </row>
    <row r="20" spans="1:11" ht="15.75">
      <c r="A20" s="449" t="s">
        <v>158</v>
      </c>
      <c r="B20" s="441" t="s">
        <v>691</v>
      </c>
      <c r="C20" s="439"/>
      <c r="D20" s="439">
        <f>D21+D22</f>
        <v>5500.1571089999998</v>
      </c>
      <c r="E20" s="439"/>
      <c r="F20" s="439">
        <f>F21+F22</f>
        <v>4055.9897190000002</v>
      </c>
      <c r="G20" s="439"/>
      <c r="H20" s="439">
        <f>H21+H22</f>
        <v>1444.1673900000001</v>
      </c>
      <c r="I20" s="441"/>
    </row>
    <row r="21" spans="1:11" ht="15.75">
      <c r="A21" s="449"/>
      <c r="B21" s="441" t="s">
        <v>712</v>
      </c>
      <c r="C21" s="439"/>
      <c r="D21" s="439">
        <v>5040.7841090000002</v>
      </c>
      <c r="E21" s="439"/>
      <c r="F21" s="439">
        <v>3596.6167190000001</v>
      </c>
      <c r="G21" s="439"/>
      <c r="H21" s="439">
        <f>D21-F21</f>
        <v>1444.1673900000001</v>
      </c>
      <c r="I21" s="441"/>
    </row>
    <row r="22" spans="1:11" ht="15.75">
      <c r="A22" s="449"/>
      <c r="B22" s="445" t="s">
        <v>713</v>
      </c>
      <c r="C22" s="439"/>
      <c r="D22" s="439">
        <v>459.37299999999999</v>
      </c>
      <c r="E22" s="439"/>
      <c r="F22" s="439">
        <f>D22</f>
        <v>459.37299999999999</v>
      </c>
      <c r="G22" s="439"/>
      <c r="H22" s="439">
        <f>D22-F22</f>
        <v>0</v>
      </c>
      <c r="I22" s="441"/>
    </row>
    <row r="23" spans="1:11" ht="15.75">
      <c r="A23" s="444" t="s">
        <v>158</v>
      </c>
      <c r="B23" s="441" t="s">
        <v>692</v>
      </c>
      <c r="C23" s="439"/>
      <c r="D23" s="439">
        <f>D24+D25</f>
        <v>18946.461973999998</v>
      </c>
      <c r="E23" s="439"/>
      <c r="F23" s="439">
        <f>F24+F25</f>
        <v>8824.9241839999995</v>
      </c>
      <c r="G23" s="439"/>
      <c r="H23" s="439">
        <f>H24+H25</f>
        <v>10121.53779</v>
      </c>
      <c r="I23" s="441"/>
    </row>
    <row r="24" spans="1:11" ht="15.75">
      <c r="A24" s="444"/>
      <c r="B24" s="441" t="s">
        <v>712</v>
      </c>
      <c r="C24" s="439"/>
      <c r="D24" s="439">
        <f>4486.989607+5748.909367</f>
        <v>10235.898974</v>
      </c>
      <c r="E24" s="439"/>
      <c r="F24" s="439">
        <f>2725.699226+5211.661958</f>
        <v>7937.3611839999994</v>
      </c>
      <c r="G24" s="439"/>
      <c r="H24" s="439">
        <f>D24-F24</f>
        <v>2298.5377900000003</v>
      </c>
      <c r="I24" s="441"/>
    </row>
    <row r="25" spans="1:11" ht="15.75">
      <c r="A25" s="444"/>
      <c r="B25" s="441" t="s">
        <v>713</v>
      </c>
      <c r="C25" s="439"/>
      <c r="D25" s="439">
        <v>8710.5630000000001</v>
      </c>
      <c r="E25" s="439"/>
      <c r="F25" s="439">
        <v>887.56299999999999</v>
      </c>
      <c r="G25" s="439"/>
      <c r="H25" s="439">
        <f>D25-F25</f>
        <v>7823</v>
      </c>
      <c r="I25" s="441"/>
    </row>
    <row r="26" spans="1:11" ht="15.75">
      <c r="A26" s="437" t="s">
        <v>381</v>
      </c>
      <c r="B26" s="443" t="s">
        <v>687</v>
      </c>
      <c r="C26" s="440"/>
      <c r="D26" s="440">
        <f>D27+D30</f>
        <v>710.25847199999998</v>
      </c>
      <c r="E26" s="440"/>
      <c r="F26" s="440">
        <f>F27+F30</f>
        <v>82.363725000000002</v>
      </c>
      <c r="G26" s="440"/>
      <c r="H26" s="440">
        <f>D26-F26</f>
        <v>627.89474699999994</v>
      </c>
      <c r="I26" s="443"/>
    </row>
    <row r="27" spans="1:11" ht="15.75">
      <c r="A27" s="444" t="s">
        <v>158</v>
      </c>
      <c r="B27" s="441" t="s">
        <v>691</v>
      </c>
      <c r="C27" s="439"/>
      <c r="D27" s="439">
        <f>D28+D29</f>
        <v>668.72833000000003</v>
      </c>
      <c r="E27" s="439"/>
      <c r="F27" s="439">
        <f>F28+F29</f>
        <v>82.363725000000002</v>
      </c>
      <c r="G27" s="439"/>
      <c r="H27" s="439">
        <f>H28+H29</f>
        <v>586.36460499999998</v>
      </c>
      <c r="I27" s="441"/>
    </row>
    <row r="28" spans="1:11" ht="15.75">
      <c r="A28" s="444"/>
      <c r="B28" s="441" t="s">
        <v>712</v>
      </c>
      <c r="C28" s="439"/>
      <c r="D28" s="439">
        <v>668.72833000000003</v>
      </c>
      <c r="E28" s="439"/>
      <c r="F28" s="439">
        <v>82.363725000000002</v>
      </c>
      <c r="G28" s="439"/>
      <c r="H28" s="439">
        <f>D28-F28</f>
        <v>586.36460499999998</v>
      </c>
      <c r="I28" s="441"/>
    </row>
    <row r="29" spans="1:11" ht="15.75">
      <c r="A29" s="444"/>
      <c r="B29" s="441" t="s">
        <v>713</v>
      </c>
      <c r="C29" s="439"/>
      <c r="D29" s="439"/>
      <c r="E29" s="439"/>
      <c r="F29" s="439"/>
      <c r="G29" s="439"/>
      <c r="H29" s="439"/>
      <c r="I29" s="441"/>
    </row>
    <row r="30" spans="1:11" ht="15.75">
      <c r="A30" s="444" t="s">
        <v>158</v>
      </c>
      <c r="B30" s="441" t="s">
        <v>692</v>
      </c>
      <c r="C30" s="439"/>
      <c r="D30" s="439">
        <f>D31+D32</f>
        <v>41.530141999999998</v>
      </c>
      <c r="E30" s="439"/>
      <c r="F30" s="439">
        <f>F31+F32</f>
        <v>0</v>
      </c>
      <c r="G30" s="439"/>
      <c r="H30" s="439">
        <f>H31+H32</f>
        <v>41.530141999999998</v>
      </c>
      <c r="I30" s="441"/>
    </row>
    <row r="31" spans="1:11" ht="15.75">
      <c r="A31" s="444"/>
      <c r="B31" s="441" t="s">
        <v>712</v>
      </c>
      <c r="C31" s="439"/>
      <c r="D31" s="439">
        <v>41.530141999999998</v>
      </c>
      <c r="E31" s="439"/>
      <c r="F31" s="439">
        <v>0</v>
      </c>
      <c r="G31" s="439"/>
      <c r="H31" s="439">
        <f>D31-F31</f>
        <v>41.530141999999998</v>
      </c>
      <c r="I31" s="441"/>
    </row>
    <row r="32" spans="1:11" ht="15.75">
      <c r="A32" s="444"/>
      <c r="B32" s="441" t="s">
        <v>713</v>
      </c>
      <c r="C32" s="439"/>
      <c r="D32" s="439"/>
      <c r="E32" s="439"/>
      <c r="F32" s="439"/>
      <c r="G32" s="439"/>
      <c r="H32" s="439"/>
      <c r="I32" s="441"/>
    </row>
    <row r="33" spans="1:11" ht="15.75">
      <c r="A33" s="437" t="s">
        <v>383</v>
      </c>
      <c r="B33" s="443" t="s">
        <v>688</v>
      </c>
      <c r="C33" s="440"/>
      <c r="D33" s="440">
        <f>D34</f>
        <v>88.353584999999995</v>
      </c>
      <c r="E33" s="440"/>
      <c r="F33" s="440"/>
      <c r="G33" s="440"/>
      <c r="H33" s="440">
        <f>H34</f>
        <v>88.353584999999995</v>
      </c>
      <c r="I33" s="443"/>
    </row>
    <row r="34" spans="1:11" ht="15.75">
      <c r="A34" s="444" t="s">
        <v>158</v>
      </c>
      <c r="B34" s="441" t="s">
        <v>691</v>
      </c>
      <c r="C34" s="439"/>
      <c r="D34" s="439">
        <f>D35</f>
        <v>88.353584999999995</v>
      </c>
      <c r="E34" s="439"/>
      <c r="F34" s="439"/>
      <c r="G34" s="439"/>
      <c r="H34" s="439">
        <f>H35</f>
        <v>88.353584999999995</v>
      </c>
      <c r="I34" s="441"/>
    </row>
    <row r="35" spans="1:11" ht="15.75">
      <c r="A35" s="444"/>
      <c r="B35" s="441" t="s">
        <v>712</v>
      </c>
      <c r="C35" s="439"/>
      <c r="D35" s="439">
        <v>88.353584999999995</v>
      </c>
      <c r="E35" s="439"/>
      <c r="F35" s="439"/>
      <c r="G35" s="439"/>
      <c r="H35" s="439">
        <f>D35-F35</f>
        <v>88.353584999999995</v>
      </c>
      <c r="I35" s="441"/>
    </row>
    <row r="36" spans="1:11" ht="15.75">
      <c r="A36" s="437" t="s">
        <v>693</v>
      </c>
      <c r="B36" s="443" t="s">
        <v>694</v>
      </c>
      <c r="C36" s="439"/>
      <c r="D36" s="440">
        <f>D37</f>
        <v>560.39699800000005</v>
      </c>
      <c r="E36" s="440"/>
      <c r="F36" s="440">
        <f>0</f>
        <v>0</v>
      </c>
      <c r="G36" s="440"/>
      <c r="H36" s="440">
        <f>D36-F36</f>
        <v>560.39699800000005</v>
      </c>
      <c r="I36" s="441"/>
    </row>
    <row r="37" spans="1:11" ht="15.75">
      <c r="A37" s="444" t="s">
        <v>158</v>
      </c>
      <c r="B37" s="441" t="s">
        <v>691</v>
      </c>
      <c r="C37" s="439"/>
      <c r="D37" s="439">
        <f>D38</f>
        <v>560.39699800000005</v>
      </c>
      <c r="E37" s="439"/>
      <c r="F37" s="439"/>
      <c r="G37" s="439"/>
      <c r="H37" s="439">
        <f>H38</f>
        <v>560.39699800000005</v>
      </c>
      <c r="I37" s="441"/>
    </row>
    <row r="38" spans="1:11" ht="15.75">
      <c r="A38" s="444"/>
      <c r="B38" s="441" t="s">
        <v>712</v>
      </c>
      <c r="C38" s="439"/>
      <c r="D38" s="439">
        <v>560.39699800000005</v>
      </c>
      <c r="E38" s="439"/>
      <c r="F38" s="439"/>
      <c r="G38" s="439"/>
      <c r="H38" s="439">
        <f>D38-F38</f>
        <v>560.39699800000005</v>
      </c>
      <c r="I38" s="441"/>
    </row>
    <row r="39" spans="1:11" ht="15.75">
      <c r="A39" s="437" t="s">
        <v>695</v>
      </c>
      <c r="B39" s="443" t="s">
        <v>689</v>
      </c>
      <c r="C39" s="440"/>
      <c r="D39" s="440">
        <f>D40+D42</f>
        <v>1748.555889</v>
      </c>
      <c r="E39" s="440"/>
      <c r="F39" s="440">
        <f>F40+F42</f>
        <v>4.19618</v>
      </c>
      <c r="G39" s="440"/>
      <c r="H39" s="440">
        <f>H40+H42</f>
        <v>1744.3597090000001</v>
      </c>
      <c r="I39" s="443"/>
      <c r="K39" s="442"/>
    </row>
    <row r="40" spans="1:11" ht="15.75">
      <c r="A40" s="444" t="s">
        <v>158</v>
      </c>
      <c r="B40" s="441" t="s">
        <v>691</v>
      </c>
      <c r="C40" s="439"/>
      <c r="D40" s="439">
        <f>D41</f>
        <v>1457.3738980000001</v>
      </c>
      <c r="E40" s="439"/>
      <c r="F40" s="439">
        <f>F41</f>
        <v>0</v>
      </c>
      <c r="G40" s="439"/>
      <c r="H40" s="439">
        <f>D40-F40</f>
        <v>1457.3738980000001</v>
      </c>
      <c r="I40" s="441"/>
      <c r="K40" s="442"/>
    </row>
    <row r="41" spans="1:11" ht="15.75">
      <c r="A41" s="444"/>
      <c r="B41" s="441" t="s">
        <v>712</v>
      </c>
      <c r="C41" s="439"/>
      <c r="D41" s="439">
        <v>1457.3738980000001</v>
      </c>
      <c r="E41" s="439"/>
      <c r="F41" s="439">
        <v>0</v>
      </c>
      <c r="G41" s="439"/>
      <c r="H41" s="439">
        <f>D41-F41</f>
        <v>1457.3738980000001</v>
      </c>
      <c r="I41" s="441"/>
    </row>
    <row r="42" spans="1:11" ht="15.75">
      <c r="A42" s="444" t="s">
        <v>158</v>
      </c>
      <c r="B42" s="441" t="s">
        <v>692</v>
      </c>
      <c r="C42" s="439"/>
      <c r="D42" s="439">
        <f>D43</f>
        <v>291.18199099999998</v>
      </c>
      <c r="E42" s="439"/>
      <c r="F42" s="439">
        <f>F43</f>
        <v>4.19618</v>
      </c>
      <c r="G42" s="439"/>
      <c r="H42" s="439">
        <f>D42-F42</f>
        <v>286.98581099999996</v>
      </c>
      <c r="I42" s="441"/>
    </row>
    <row r="43" spans="1:11" ht="15.75">
      <c r="A43" s="444"/>
      <c r="B43" s="441" t="s">
        <v>712</v>
      </c>
      <c r="C43" s="439"/>
      <c r="D43" s="439">
        <v>291.18199099999998</v>
      </c>
      <c r="E43" s="439"/>
      <c r="F43" s="439">
        <v>4.19618</v>
      </c>
      <c r="G43" s="439"/>
      <c r="H43" s="439">
        <f>D43-F43</f>
        <v>286.98581099999996</v>
      </c>
      <c r="I43" s="441"/>
    </row>
    <row r="44" spans="1:11" ht="15.75">
      <c r="A44" s="437" t="s">
        <v>696</v>
      </c>
      <c r="B44" s="443" t="s">
        <v>685</v>
      </c>
      <c r="C44" s="439"/>
      <c r="D44" s="439">
        <f>D45</f>
        <v>430.60453100000001</v>
      </c>
      <c r="E44" s="439"/>
      <c r="F44" s="439">
        <f>F45</f>
        <v>268.94524999999999</v>
      </c>
      <c r="G44" s="439"/>
      <c r="H44" s="439">
        <f>H45</f>
        <v>161.65928100000002</v>
      </c>
      <c r="I44" s="441"/>
    </row>
    <row r="45" spans="1:11" ht="15.75">
      <c r="A45" s="444" t="s">
        <v>158</v>
      </c>
      <c r="B45" s="441" t="s">
        <v>691</v>
      </c>
      <c r="C45" s="439"/>
      <c r="D45" s="439">
        <f>D46+D47</f>
        <v>430.60453100000001</v>
      </c>
      <c r="E45" s="439"/>
      <c r="F45" s="439">
        <f>F46+F47</f>
        <v>268.94524999999999</v>
      </c>
      <c r="G45" s="439"/>
      <c r="H45" s="439">
        <f>H46+H47</f>
        <v>161.65928100000002</v>
      </c>
      <c r="I45" s="441"/>
    </row>
    <row r="46" spans="1:11" ht="15.75">
      <c r="A46" s="444"/>
      <c r="B46" s="441" t="s">
        <v>714</v>
      </c>
      <c r="C46" s="439"/>
      <c r="D46" s="439">
        <v>306.90399300000001</v>
      </c>
      <c r="E46" s="439"/>
      <c r="F46" s="439">
        <v>268.94524999999999</v>
      </c>
      <c r="G46" s="439"/>
      <c r="H46" s="439">
        <f>D46-F46</f>
        <v>37.958743000000027</v>
      </c>
      <c r="I46" s="441"/>
    </row>
    <row r="47" spans="1:11" ht="15.75">
      <c r="A47" s="444"/>
      <c r="B47" s="441" t="s">
        <v>715</v>
      </c>
      <c r="C47" s="439"/>
      <c r="D47" s="439">
        <v>123.70053799999999</v>
      </c>
      <c r="E47" s="439"/>
      <c r="F47" s="439">
        <v>0</v>
      </c>
      <c r="G47" s="439"/>
      <c r="H47" s="439">
        <f>D47-F47</f>
        <v>123.70053799999999</v>
      </c>
      <c r="I47" s="441"/>
    </row>
    <row r="48" spans="1:11" ht="15.75">
      <c r="A48" s="437">
        <v>4</v>
      </c>
      <c r="B48" s="443" t="s">
        <v>697</v>
      </c>
      <c r="C48" s="440"/>
      <c r="D48" s="440">
        <f>D49</f>
        <v>5210.2865099999999</v>
      </c>
      <c r="E48" s="440"/>
      <c r="F48" s="440">
        <f>F49</f>
        <v>3059.6361400000001</v>
      </c>
      <c r="G48" s="440"/>
      <c r="H48" s="440">
        <f>H49</f>
        <v>2150.6503699999998</v>
      </c>
      <c r="I48" s="443"/>
    </row>
    <row r="49" spans="1:9" ht="15.75">
      <c r="A49" s="444" t="s">
        <v>158</v>
      </c>
      <c r="B49" s="441" t="s">
        <v>685</v>
      </c>
      <c r="C49" s="439"/>
      <c r="D49" s="439">
        <v>5210.2865099999999</v>
      </c>
      <c r="E49" s="439"/>
      <c r="F49" s="439">
        <v>3059.6361400000001</v>
      </c>
      <c r="G49" s="439"/>
      <c r="H49" s="439">
        <f>D49-F49</f>
        <v>2150.6503699999998</v>
      </c>
      <c r="I49" s="441"/>
    </row>
    <row r="50" spans="1:9" ht="15.75">
      <c r="A50" s="437" t="s">
        <v>112</v>
      </c>
      <c r="B50" s="446" t="s">
        <v>698</v>
      </c>
      <c r="C50" s="440">
        <f>C51+C61</f>
        <v>516600.26981799997</v>
      </c>
      <c r="D50" s="440"/>
      <c r="E50" s="440"/>
      <c r="F50" s="440"/>
      <c r="G50" s="440">
        <f>C50</f>
        <v>516600.26981799997</v>
      </c>
      <c r="H50" s="439"/>
      <c r="I50" s="441"/>
    </row>
    <row r="51" spans="1:9" s="453" customFormat="1" ht="15.75">
      <c r="A51" s="450">
        <v>1</v>
      </c>
      <c r="B51" s="451" t="s">
        <v>683</v>
      </c>
      <c r="C51" s="452">
        <f>C52+C53+C54+C55+C56+C57+C58+C59</f>
        <v>439093.38815899997</v>
      </c>
      <c r="D51" s="452"/>
      <c r="E51" s="452"/>
      <c r="F51" s="452"/>
      <c r="G51" s="452">
        <f>G52+G53+G54+G55+G56+G57+G58+G59</f>
        <v>439093.38815899997</v>
      </c>
      <c r="H51" s="452"/>
      <c r="I51" s="451"/>
    </row>
    <row r="52" spans="1:9" ht="31.5">
      <c r="A52" s="444" t="s">
        <v>334</v>
      </c>
      <c r="B52" s="447" t="s">
        <v>699</v>
      </c>
      <c r="C52" s="439">
        <v>190543</v>
      </c>
      <c r="D52" s="439"/>
      <c r="E52" s="439"/>
      <c r="F52" s="439"/>
      <c r="G52" s="439">
        <f>C52-E52</f>
        <v>190543</v>
      </c>
      <c r="H52" s="439"/>
      <c r="I52" s="441"/>
    </row>
    <row r="53" spans="1:9" ht="15.75">
      <c r="A53" s="444" t="s">
        <v>336</v>
      </c>
      <c r="B53" s="441" t="s">
        <v>700</v>
      </c>
      <c r="C53" s="439">
        <v>181000</v>
      </c>
      <c r="D53" s="439"/>
      <c r="E53" s="439"/>
      <c r="F53" s="439"/>
      <c r="G53" s="439">
        <f>C53-E53</f>
        <v>181000</v>
      </c>
      <c r="H53" s="439"/>
      <c r="I53" s="441"/>
    </row>
    <row r="54" spans="1:9" ht="31.5">
      <c r="A54" s="444" t="s">
        <v>338</v>
      </c>
      <c r="B54" s="447" t="s">
        <v>719</v>
      </c>
      <c r="C54" s="439">
        <v>25057.794089999999</v>
      </c>
      <c r="D54" s="439"/>
      <c r="E54" s="439"/>
      <c r="F54" s="439"/>
      <c r="G54" s="439">
        <f t="shared" ref="G54:G59" si="1">C54-E54</f>
        <v>25057.794089999999</v>
      </c>
      <c r="H54" s="439"/>
      <c r="I54" s="441"/>
    </row>
    <row r="55" spans="1:9" ht="31.5">
      <c r="A55" s="444" t="s">
        <v>340</v>
      </c>
      <c r="B55" s="447" t="s">
        <v>701</v>
      </c>
      <c r="C55" s="439">
        <v>1232.5409360000001</v>
      </c>
      <c r="D55" s="439"/>
      <c r="E55" s="439"/>
      <c r="F55" s="439"/>
      <c r="G55" s="439">
        <f t="shared" si="1"/>
        <v>1232.5409360000001</v>
      </c>
      <c r="H55" s="439"/>
      <c r="I55" s="441"/>
    </row>
    <row r="56" spans="1:9" ht="15.75">
      <c r="A56" s="444" t="s">
        <v>342</v>
      </c>
      <c r="B56" s="447" t="s">
        <v>702</v>
      </c>
      <c r="C56" s="439">
        <v>517.36911799999996</v>
      </c>
      <c r="D56" s="439"/>
      <c r="E56" s="439"/>
      <c r="F56" s="439"/>
      <c r="G56" s="439">
        <f t="shared" si="1"/>
        <v>517.36911799999996</v>
      </c>
      <c r="H56" s="439"/>
      <c r="I56" s="441"/>
    </row>
    <row r="57" spans="1:9" ht="15.75">
      <c r="A57" s="444" t="s">
        <v>344</v>
      </c>
      <c r="B57" s="447" t="s">
        <v>703</v>
      </c>
      <c r="C57" s="439">
        <v>30784.721633000001</v>
      </c>
      <c r="D57" s="439"/>
      <c r="E57" s="439"/>
      <c r="F57" s="439"/>
      <c r="G57" s="439">
        <f t="shared" si="1"/>
        <v>30784.721633000001</v>
      </c>
      <c r="H57" s="439"/>
      <c r="I57" s="441"/>
    </row>
    <row r="58" spans="1:9" ht="31.5">
      <c r="A58" s="444" t="s">
        <v>346</v>
      </c>
      <c r="B58" s="447" t="s">
        <v>704</v>
      </c>
      <c r="C58" s="439">
        <v>2688.6293820000001</v>
      </c>
      <c r="D58" s="439"/>
      <c r="E58" s="439"/>
      <c r="F58" s="439"/>
      <c r="G58" s="439">
        <f t="shared" si="1"/>
        <v>2688.6293820000001</v>
      </c>
      <c r="H58" s="439"/>
      <c r="I58" s="441"/>
    </row>
    <row r="59" spans="1:9" ht="15.75">
      <c r="A59" s="444" t="s">
        <v>348</v>
      </c>
      <c r="B59" s="447" t="s">
        <v>705</v>
      </c>
      <c r="C59" s="439">
        <v>7269.3329999999996</v>
      </c>
      <c r="D59" s="439"/>
      <c r="E59" s="439"/>
      <c r="F59" s="439"/>
      <c r="G59" s="439">
        <f t="shared" si="1"/>
        <v>7269.3329999999996</v>
      </c>
      <c r="H59" s="439"/>
      <c r="I59" s="441"/>
    </row>
    <row r="60" spans="1:9" s="453" customFormat="1" ht="15.75">
      <c r="A60" s="450">
        <v>2</v>
      </c>
      <c r="B60" s="451" t="s">
        <v>686</v>
      </c>
      <c r="C60" s="452"/>
      <c r="D60" s="452"/>
      <c r="E60" s="452"/>
      <c r="F60" s="452"/>
      <c r="G60" s="452"/>
      <c r="H60" s="452"/>
      <c r="I60" s="451"/>
    </row>
    <row r="61" spans="1:9" ht="15.75">
      <c r="A61" s="437">
        <v>3</v>
      </c>
      <c r="B61" s="443" t="s">
        <v>690</v>
      </c>
      <c r="C61" s="440">
        <f>C62+C65</f>
        <v>77506.881659000006</v>
      </c>
      <c r="D61" s="440"/>
      <c r="E61" s="440"/>
      <c r="F61" s="440"/>
      <c r="G61" s="440">
        <f>G62+G65</f>
        <v>77506.881659000006</v>
      </c>
      <c r="H61" s="440"/>
      <c r="I61" s="443"/>
    </row>
    <row r="62" spans="1:9" ht="15.75">
      <c r="A62" s="444" t="s">
        <v>158</v>
      </c>
      <c r="B62" s="441" t="s">
        <v>691</v>
      </c>
      <c r="C62" s="439">
        <f>C63+C64</f>
        <v>60328.752559</v>
      </c>
      <c r="D62" s="439"/>
      <c r="E62" s="439"/>
      <c r="F62" s="439"/>
      <c r="G62" s="439">
        <f>G63+G64</f>
        <v>60328.752559</v>
      </c>
      <c r="H62" s="439"/>
      <c r="I62" s="441"/>
    </row>
    <row r="63" spans="1:9" ht="15.75">
      <c r="A63" s="444"/>
      <c r="B63" s="441" t="s">
        <v>716</v>
      </c>
      <c r="C63" s="439">
        <f>624.058433+1058.169126+14416+44152+78.525</f>
        <v>60328.752559</v>
      </c>
      <c r="D63" s="439"/>
      <c r="E63" s="439"/>
      <c r="F63" s="439"/>
      <c r="G63" s="439">
        <f>C63-E63</f>
        <v>60328.752559</v>
      </c>
      <c r="H63" s="439"/>
      <c r="I63" s="441"/>
    </row>
    <row r="64" spans="1:9" ht="15.75">
      <c r="A64" s="444"/>
      <c r="B64" s="441" t="s">
        <v>717</v>
      </c>
      <c r="C64" s="439"/>
      <c r="D64" s="439"/>
      <c r="E64" s="439"/>
      <c r="F64" s="439"/>
      <c r="G64" s="439"/>
      <c r="H64" s="439"/>
      <c r="I64" s="441"/>
    </row>
    <row r="65" spans="1:9" ht="15.75">
      <c r="A65" s="444" t="s">
        <v>158</v>
      </c>
      <c r="B65" s="441" t="s">
        <v>692</v>
      </c>
      <c r="C65" s="439">
        <f>C66+C67</f>
        <v>17178.129099999998</v>
      </c>
      <c r="D65" s="439"/>
      <c r="E65" s="439"/>
      <c r="F65" s="439"/>
      <c r="G65" s="439">
        <f>G66+G67</f>
        <v>17178.129099999998</v>
      </c>
      <c r="H65" s="439"/>
      <c r="I65" s="441"/>
    </row>
    <row r="66" spans="1:9" ht="15.75">
      <c r="A66" s="444"/>
      <c r="B66" s="441" t="s">
        <v>712</v>
      </c>
      <c r="C66" s="439">
        <f>986.582412+219.041612+8602.676908+284.997221+282.79882+2808.318+788.804127+3130.763+74.147</f>
        <v>17178.129099999998</v>
      </c>
      <c r="D66" s="439"/>
      <c r="E66" s="439"/>
      <c r="F66" s="439"/>
      <c r="G66" s="439">
        <f>C66-E66</f>
        <v>17178.129099999998</v>
      </c>
      <c r="H66" s="439"/>
      <c r="I66" s="441"/>
    </row>
    <row r="67" spans="1:9" ht="15.75">
      <c r="A67" s="444"/>
      <c r="B67" s="441" t="s">
        <v>713</v>
      </c>
      <c r="C67" s="439"/>
      <c r="D67" s="439"/>
      <c r="E67" s="439"/>
      <c r="F67" s="439"/>
      <c r="G67" s="439"/>
      <c r="H67" s="439"/>
      <c r="I67" s="441"/>
    </row>
    <row r="68" spans="1:9" s="453" customFormat="1" ht="15.75">
      <c r="A68" s="450">
        <v>4</v>
      </c>
      <c r="B68" s="451" t="s">
        <v>706</v>
      </c>
      <c r="C68" s="452"/>
      <c r="D68" s="452"/>
      <c r="E68" s="452"/>
      <c r="F68" s="452"/>
      <c r="G68" s="452"/>
      <c r="H68" s="452"/>
      <c r="I68" s="451"/>
    </row>
    <row r="69" spans="1:9" ht="15.75">
      <c r="A69" s="444" t="s">
        <v>158</v>
      </c>
      <c r="B69" s="441" t="s">
        <v>716</v>
      </c>
      <c r="C69" s="439"/>
      <c r="D69" s="439"/>
      <c r="E69" s="439"/>
      <c r="F69" s="439"/>
      <c r="G69" s="439"/>
      <c r="H69" s="439"/>
      <c r="I69" s="441"/>
    </row>
    <row r="70" spans="1:9" ht="15.75">
      <c r="A70" s="444"/>
      <c r="B70" s="441" t="s">
        <v>717</v>
      </c>
      <c r="C70" s="439"/>
      <c r="D70" s="439"/>
      <c r="E70" s="439"/>
      <c r="F70" s="439"/>
      <c r="G70" s="439"/>
      <c r="H70" s="439"/>
      <c r="I70" s="441"/>
    </row>
    <row r="71" spans="1:9" ht="15.75">
      <c r="A71" s="437" t="s">
        <v>707</v>
      </c>
      <c r="B71" s="443" t="s">
        <v>708</v>
      </c>
      <c r="C71" s="439"/>
      <c r="D71" s="439"/>
      <c r="E71" s="439"/>
      <c r="F71" s="439"/>
      <c r="G71" s="439"/>
      <c r="H71" s="439"/>
      <c r="I71" s="441"/>
    </row>
    <row r="72" spans="1:9" ht="16.5" hidden="1">
      <c r="A72" s="1043" t="s">
        <v>709</v>
      </c>
      <c r="B72" s="1043"/>
      <c r="C72" s="1043"/>
      <c r="D72" s="1043"/>
      <c r="E72" s="1043"/>
      <c r="F72" s="1043"/>
      <c r="G72" s="1043"/>
      <c r="H72" s="1043"/>
      <c r="I72" s="1043"/>
    </row>
    <row r="74" spans="1:9" ht="15" customHeight="1">
      <c r="F74" s="1044" t="s">
        <v>710</v>
      </c>
      <c r="G74" s="1044"/>
      <c r="H74" s="1044"/>
      <c r="I74" s="1044"/>
    </row>
    <row r="75" spans="1:9" ht="15" customHeight="1">
      <c r="F75" s="1045" t="s">
        <v>82</v>
      </c>
      <c r="G75" s="1045"/>
      <c r="H75" s="1045"/>
      <c r="I75" s="1045"/>
    </row>
    <row r="76" spans="1:9" ht="15" customHeight="1">
      <c r="F76" s="1045" t="s">
        <v>83</v>
      </c>
      <c r="G76" s="1045"/>
      <c r="H76" s="1045"/>
      <c r="I76" s="1045"/>
    </row>
  </sheetData>
  <sheetProtection selectLockedCells="1" selectUnlockedCells="1"/>
  <mergeCells count="14">
    <mergeCell ref="A72:I72"/>
    <mergeCell ref="F74:I74"/>
    <mergeCell ref="F75:I75"/>
    <mergeCell ref="F76:I76"/>
    <mergeCell ref="A1:B1"/>
    <mergeCell ref="H1:I1"/>
    <mergeCell ref="A3:I3"/>
    <mergeCell ref="H5:I5"/>
    <mergeCell ref="A6:A7"/>
    <mergeCell ref="B6:B7"/>
    <mergeCell ref="C6:D6"/>
    <mergeCell ref="E6:F6"/>
    <mergeCell ref="G6:H6"/>
    <mergeCell ref="I6:I7"/>
  </mergeCells>
  <phoneticPr fontId="160" type="noConversion"/>
  <pageMargins left="0.66" right="0.25" top="0.25" bottom="0.25" header="0" footer="0"/>
  <pageSetup paperSize="9" firstPageNumber="0"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0" sqref="N20"/>
    </sheetView>
  </sheetViews>
  <sheetFormatPr defaultColWidth="8.7109375" defaultRowHeight="12.75"/>
  <sheetData/>
  <sheetProtection selectLockedCells="1" selectUnlockedCells="1"/>
  <phoneticPr fontId="160" type="noConversion"/>
  <pageMargins left="0.7" right="0.7" top="0.75" bottom="0.75"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3"/>
  <sheetViews>
    <sheetView workbookViewId="0">
      <selection activeCell="D10" sqref="D10"/>
    </sheetView>
  </sheetViews>
  <sheetFormatPr defaultRowHeight="16.5"/>
  <cols>
    <col min="1" max="1" width="7" style="495" customWidth="1"/>
    <col min="2" max="2" width="49.42578125" style="495" customWidth="1"/>
    <col min="3" max="3" width="28.5703125" style="495" bestFit="1" customWidth="1"/>
    <col min="4" max="4" width="14.42578125" style="495" customWidth="1"/>
    <col min="5" max="5" width="16" style="495" bestFit="1" customWidth="1"/>
    <col min="6" max="6" width="26.5703125" style="495" customWidth="1"/>
    <col min="7" max="16384" width="9.140625" style="495"/>
  </cols>
  <sheetData>
    <row r="1" spans="1:6" ht="45.75" customHeight="1">
      <c r="A1" s="1052" t="s">
        <v>760</v>
      </c>
      <c r="B1" s="1053"/>
      <c r="C1" s="1053"/>
      <c r="D1" s="1053"/>
      <c r="E1" s="1054" t="s">
        <v>749</v>
      </c>
      <c r="F1" s="1054"/>
    </row>
    <row r="2" spans="1:6" ht="59.25" customHeight="1">
      <c r="A2" s="1055" t="s">
        <v>764</v>
      </c>
      <c r="B2" s="1051"/>
      <c r="C2" s="1051"/>
      <c r="D2" s="1051"/>
      <c r="E2" s="1051"/>
      <c r="F2" s="1051"/>
    </row>
    <row r="3" spans="1:6" ht="33" customHeight="1">
      <c r="D3" s="1056" t="s">
        <v>750</v>
      </c>
      <c r="E3" s="1056"/>
      <c r="F3" s="1056"/>
    </row>
    <row r="4" spans="1:6" ht="38.25" customHeight="1">
      <c r="A4" s="496" t="s">
        <v>39</v>
      </c>
      <c r="B4" s="496" t="s">
        <v>474</v>
      </c>
      <c r="C4" s="496" t="s">
        <v>751</v>
      </c>
      <c r="D4" s="496" t="s">
        <v>752</v>
      </c>
      <c r="E4" s="496" t="s">
        <v>753</v>
      </c>
      <c r="F4" s="496" t="s">
        <v>754</v>
      </c>
    </row>
    <row r="5" spans="1:6">
      <c r="A5" s="497" t="s">
        <v>51</v>
      </c>
      <c r="B5" s="497" t="s">
        <v>77</v>
      </c>
      <c r="C5" s="497">
        <v>1</v>
      </c>
      <c r="D5" s="497">
        <v>2</v>
      </c>
      <c r="E5" s="497">
        <v>3</v>
      </c>
      <c r="F5" s="497">
        <v>4</v>
      </c>
    </row>
    <row r="6" spans="1:6">
      <c r="A6" s="497">
        <v>1</v>
      </c>
      <c r="B6" s="498" t="s">
        <v>755</v>
      </c>
      <c r="C6" s="498"/>
      <c r="D6" s="498"/>
      <c r="E6" s="498"/>
      <c r="F6" s="501">
        <f>+F7+F8+F9</f>
        <v>15162338774</v>
      </c>
    </row>
    <row r="7" spans="1:6">
      <c r="A7" s="497" t="s">
        <v>756</v>
      </c>
      <c r="B7" s="499" t="s">
        <v>757</v>
      </c>
      <c r="C7" s="498"/>
      <c r="D7" s="498"/>
      <c r="E7" s="498"/>
      <c r="F7" s="501"/>
    </row>
    <row r="8" spans="1:6">
      <c r="A8" s="497" t="s">
        <v>758</v>
      </c>
      <c r="B8" s="499" t="s">
        <v>759</v>
      </c>
      <c r="C8" s="498"/>
      <c r="D8" s="498"/>
      <c r="E8" s="498"/>
      <c r="F8" s="501"/>
    </row>
    <row r="9" spans="1:6">
      <c r="A9" s="497" t="s">
        <v>761</v>
      </c>
      <c r="B9" s="499" t="s">
        <v>762</v>
      </c>
      <c r="C9" s="497">
        <v>12</v>
      </c>
      <c r="D9" s="498"/>
      <c r="E9" s="498"/>
      <c r="F9" s="501">
        <v>15162338774</v>
      </c>
    </row>
    <row r="10" spans="1:6" ht="49.5">
      <c r="A10" s="496">
        <v>2</v>
      </c>
      <c r="B10" s="502" t="s">
        <v>763</v>
      </c>
      <c r="C10" s="498"/>
      <c r="D10" s="498"/>
      <c r="E10" s="498"/>
      <c r="F10" s="501"/>
    </row>
    <row r="12" spans="1:6">
      <c r="E12" s="1057" t="s">
        <v>671</v>
      </c>
      <c r="F12" s="1057"/>
    </row>
    <row r="13" spans="1:6">
      <c r="B13" s="500" t="s">
        <v>765</v>
      </c>
      <c r="E13" s="1051" t="s">
        <v>766</v>
      </c>
      <c r="F13" s="1051"/>
    </row>
  </sheetData>
  <mergeCells count="6">
    <mergeCell ref="E13:F13"/>
    <mergeCell ref="A1:D1"/>
    <mergeCell ref="E1:F1"/>
    <mergeCell ref="A2:F2"/>
    <mergeCell ref="D3:F3"/>
    <mergeCell ref="E12:F12"/>
  </mergeCells>
  <pageMargins left="0.5" right="0.25" top="0.25" bottom="0.5" header="0" footer="0"/>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9"/>
  <sheetViews>
    <sheetView zoomScaleNormal="160" zoomScaleSheetLayoutView="55" workbookViewId="0">
      <selection activeCell="V1" sqref="V1:Y1"/>
    </sheetView>
  </sheetViews>
  <sheetFormatPr defaultColWidth="9" defaultRowHeight="11.25"/>
  <cols>
    <col min="1" max="1" width="3.42578125" style="508" customWidth="1"/>
    <col min="2" max="2" width="18.85546875" style="508" customWidth="1"/>
    <col min="3" max="3" width="25.42578125" style="508" hidden="1" customWidth="1"/>
    <col min="4" max="4" width="2.140625" style="508" hidden="1" customWidth="1"/>
    <col min="5" max="5" width="5.140625" style="503" customWidth="1"/>
    <col min="6" max="6" width="11" style="504" customWidth="1"/>
    <col min="7" max="7" width="11" style="505" customWidth="1"/>
    <col min="8" max="8" width="9.42578125" style="505" customWidth="1"/>
    <col min="9" max="9" width="8.140625" style="505" customWidth="1"/>
    <col min="10" max="13" width="9.28515625" style="505" customWidth="1"/>
    <col min="14" max="14" width="8.85546875" style="505" customWidth="1"/>
    <col min="15" max="15" width="4.28515625" style="505" customWidth="1"/>
    <col min="16" max="16" width="7.140625" style="505" customWidth="1"/>
    <col min="17" max="17" width="10.28515625" style="505" customWidth="1"/>
    <col min="18" max="18" width="10.28515625" style="504" customWidth="1"/>
    <col min="19" max="19" width="10.42578125" style="504" customWidth="1"/>
    <col min="20" max="20" width="9.28515625" style="504" customWidth="1"/>
    <col min="21" max="21" width="4.140625" style="505" customWidth="1"/>
    <col min="22" max="22" width="8.7109375" style="505" customWidth="1"/>
    <col min="23" max="23" width="10.42578125" style="505" customWidth="1"/>
    <col min="24" max="24" width="9.42578125" style="505" customWidth="1"/>
    <col min="25" max="25" width="11.28515625" style="505" customWidth="1"/>
    <col min="26" max="26" width="15.85546875" style="505" customWidth="1"/>
    <col min="27" max="27" width="19.28515625" style="505" bestFit="1" customWidth="1"/>
    <col min="28" max="28" width="10.85546875" style="505" customWidth="1"/>
    <col min="29" max="16384" width="9" style="505"/>
  </cols>
  <sheetData>
    <row r="1" spans="1:25" s="868" customFormat="1" ht="17.100000000000001" customHeight="1">
      <c r="A1" s="869" t="s">
        <v>1355</v>
      </c>
      <c r="B1" s="869"/>
      <c r="C1" s="869"/>
      <c r="D1" s="869"/>
      <c r="E1" s="866"/>
      <c r="F1" s="867"/>
      <c r="R1" s="867"/>
      <c r="S1" s="867"/>
      <c r="T1" s="867"/>
      <c r="V1" s="1058"/>
      <c r="W1" s="1058"/>
      <c r="X1" s="1058"/>
      <c r="Y1" s="1058"/>
    </row>
    <row r="2" spans="1:25" s="868" customFormat="1" ht="17.100000000000001" customHeight="1">
      <c r="A2" s="1059" t="s">
        <v>1360</v>
      </c>
      <c r="B2" s="1059"/>
      <c r="C2" s="1059"/>
      <c r="D2" s="1059"/>
      <c r="E2" s="866"/>
      <c r="F2" s="867"/>
      <c r="R2" s="867"/>
      <c r="S2" s="867"/>
      <c r="T2" s="867"/>
      <c r="W2" s="1060"/>
      <c r="X2" s="1060"/>
      <c r="Y2" s="1060"/>
    </row>
    <row r="3" spans="1:25" ht="24.75" customHeight="1">
      <c r="A3" s="1061"/>
      <c r="B3" s="1061"/>
      <c r="C3" s="1061"/>
      <c r="D3" s="1061"/>
      <c r="W3" s="506"/>
      <c r="X3" s="506"/>
      <c r="Y3" s="506"/>
    </row>
    <row r="4" spans="1:25" ht="22.5" customHeight="1">
      <c r="A4" s="1067" t="s">
        <v>1463</v>
      </c>
      <c r="B4" s="1067"/>
      <c r="C4" s="1067"/>
      <c r="D4" s="1067"/>
      <c r="E4" s="1067"/>
      <c r="F4" s="1067"/>
      <c r="G4" s="1067"/>
      <c r="H4" s="1067"/>
      <c r="I4" s="1067"/>
      <c r="J4" s="1067"/>
      <c r="K4" s="1067"/>
      <c r="L4" s="1067"/>
      <c r="M4" s="1067"/>
      <c r="N4" s="1067"/>
      <c r="O4" s="1067"/>
      <c r="P4" s="1067"/>
      <c r="Q4" s="1067"/>
      <c r="R4" s="1067"/>
      <c r="S4" s="1067"/>
      <c r="T4" s="1067"/>
      <c r="U4" s="1067"/>
      <c r="V4" s="1067"/>
      <c r="W4" s="1067"/>
      <c r="X4" s="1067"/>
      <c r="Y4" s="1067"/>
    </row>
    <row r="5" spans="1:25" ht="24" customHeight="1">
      <c r="A5" s="1074" t="s">
        <v>1445</v>
      </c>
      <c r="B5" s="1074"/>
      <c r="C5" s="1074"/>
      <c r="D5" s="1074"/>
      <c r="E5" s="1074"/>
      <c r="F5" s="1074"/>
      <c r="G5" s="1074"/>
      <c r="H5" s="1074"/>
      <c r="I5" s="1074"/>
      <c r="J5" s="1074"/>
      <c r="K5" s="1074"/>
      <c r="L5" s="1074"/>
      <c r="M5" s="1074"/>
      <c r="N5" s="1074"/>
      <c r="O5" s="1074"/>
      <c r="P5" s="1074"/>
      <c r="Q5" s="1074"/>
      <c r="R5" s="1074"/>
      <c r="S5" s="1074"/>
      <c r="T5" s="1074"/>
      <c r="U5" s="1074"/>
      <c r="V5" s="1074"/>
      <c r="W5" s="1074"/>
      <c r="X5" s="1074"/>
      <c r="Y5" s="1074"/>
    </row>
    <row r="6" spans="1:25" ht="17.25" customHeight="1">
      <c r="A6" s="864"/>
      <c r="B6" s="864"/>
      <c r="C6" s="864"/>
      <c r="D6" s="864"/>
      <c r="E6" s="864"/>
      <c r="F6" s="864"/>
      <c r="G6" s="864"/>
      <c r="H6" s="864"/>
      <c r="I6" s="864"/>
      <c r="J6" s="864"/>
      <c r="K6" s="864"/>
      <c r="L6" s="864"/>
      <c r="M6" s="864"/>
      <c r="N6" s="864"/>
      <c r="O6" s="864"/>
      <c r="P6" s="864"/>
      <c r="Q6" s="864"/>
      <c r="R6" s="864"/>
      <c r="S6" s="864"/>
      <c r="T6" s="864"/>
      <c r="U6" s="864"/>
      <c r="V6" s="864"/>
      <c r="W6" s="864"/>
      <c r="X6" s="864"/>
      <c r="Y6" s="864"/>
    </row>
    <row r="7" spans="1:25" ht="26.25" customHeight="1">
      <c r="A7" s="507"/>
      <c r="N7" s="1066"/>
      <c r="O7" s="1066"/>
      <c r="P7" s="1066"/>
      <c r="W7" s="1063" t="s">
        <v>1462</v>
      </c>
      <c r="X7" s="1063"/>
      <c r="Y7" s="1063"/>
    </row>
    <row r="8" spans="1:25" s="509" customFormat="1" ht="24.95" customHeight="1">
      <c r="A8" s="1064" t="s">
        <v>767</v>
      </c>
      <c r="B8" s="1064" t="s">
        <v>474</v>
      </c>
      <c r="C8" s="870"/>
      <c r="D8" s="1064" t="s">
        <v>768</v>
      </c>
      <c r="E8" s="1064" t="s">
        <v>769</v>
      </c>
      <c r="F8" s="1065" t="s">
        <v>770</v>
      </c>
      <c r="G8" s="1065" t="s">
        <v>771</v>
      </c>
      <c r="H8" s="1065"/>
      <c r="I8" s="1065" t="s">
        <v>772</v>
      </c>
      <c r="J8" s="1065" t="s">
        <v>773</v>
      </c>
      <c r="K8" s="1065" t="s">
        <v>1464</v>
      </c>
      <c r="L8" s="1065"/>
      <c r="M8" s="1065"/>
      <c r="N8" s="1065"/>
      <c r="O8" s="1065"/>
      <c r="P8" s="1065"/>
      <c r="Q8" s="1065" t="s">
        <v>774</v>
      </c>
      <c r="R8" s="1065"/>
      <c r="S8" s="1065"/>
      <c r="T8" s="1065"/>
      <c r="U8" s="1065"/>
      <c r="V8" s="1065"/>
      <c r="W8" s="1065" t="s">
        <v>775</v>
      </c>
      <c r="X8" s="1065" t="s">
        <v>776</v>
      </c>
      <c r="Y8" s="1065" t="s">
        <v>777</v>
      </c>
    </row>
    <row r="9" spans="1:25" s="509" customFormat="1" ht="15" customHeight="1">
      <c r="A9" s="1064"/>
      <c r="B9" s="1064"/>
      <c r="C9" s="870"/>
      <c r="D9" s="1064"/>
      <c r="E9" s="1064"/>
      <c r="F9" s="1065"/>
      <c r="G9" s="1065"/>
      <c r="H9" s="1065"/>
      <c r="I9" s="1065"/>
      <c r="J9" s="1065"/>
      <c r="K9" s="1065" t="s">
        <v>778</v>
      </c>
      <c r="L9" s="1065" t="s">
        <v>779</v>
      </c>
      <c r="M9" s="1065"/>
      <c r="N9" s="1065"/>
      <c r="O9" s="1065" t="s">
        <v>780</v>
      </c>
      <c r="P9" s="1065" t="s">
        <v>781</v>
      </c>
      <c r="Q9" s="1065" t="s">
        <v>782</v>
      </c>
      <c r="R9" s="1065" t="s">
        <v>779</v>
      </c>
      <c r="S9" s="1065"/>
      <c r="T9" s="1065"/>
      <c r="U9" s="1065" t="s">
        <v>780</v>
      </c>
      <c r="V9" s="1065" t="s">
        <v>781</v>
      </c>
      <c r="W9" s="1065"/>
      <c r="X9" s="1065"/>
      <c r="Y9" s="1065"/>
    </row>
    <row r="10" spans="1:25" s="509" customFormat="1" ht="99" customHeight="1">
      <c r="A10" s="1064"/>
      <c r="B10" s="1064"/>
      <c r="C10" s="870" t="s">
        <v>783</v>
      </c>
      <c r="D10" s="1064"/>
      <c r="E10" s="1064"/>
      <c r="F10" s="1065"/>
      <c r="G10" s="863" t="s">
        <v>315</v>
      </c>
      <c r="H10" s="863" t="s">
        <v>784</v>
      </c>
      <c r="I10" s="1065"/>
      <c r="J10" s="1065"/>
      <c r="K10" s="1065"/>
      <c r="L10" s="863" t="s">
        <v>315</v>
      </c>
      <c r="M10" s="863" t="s">
        <v>785</v>
      </c>
      <c r="N10" s="863" t="s">
        <v>786</v>
      </c>
      <c r="O10" s="1065"/>
      <c r="P10" s="1065"/>
      <c r="Q10" s="1065"/>
      <c r="R10" s="863" t="s">
        <v>315</v>
      </c>
      <c r="S10" s="863" t="s">
        <v>785</v>
      </c>
      <c r="T10" s="863" t="s">
        <v>786</v>
      </c>
      <c r="U10" s="1065"/>
      <c r="V10" s="1065"/>
      <c r="W10" s="1065"/>
      <c r="X10" s="1065"/>
      <c r="Y10" s="1065"/>
    </row>
    <row r="11" spans="1:25" s="972" customFormat="1" ht="24.95" customHeight="1">
      <c r="A11" s="879">
        <v>1</v>
      </c>
      <c r="B11" s="879">
        <v>2</v>
      </c>
      <c r="C11" s="879"/>
      <c r="D11" s="879">
        <v>3</v>
      </c>
      <c r="E11" s="879">
        <v>4</v>
      </c>
      <c r="F11" s="926">
        <v>5</v>
      </c>
      <c r="G11" s="926">
        <v>6</v>
      </c>
      <c r="H11" s="926">
        <v>7</v>
      </c>
      <c r="I11" s="926">
        <v>8</v>
      </c>
      <c r="J11" s="926">
        <v>9</v>
      </c>
      <c r="K11" s="926">
        <v>10</v>
      </c>
      <c r="L11" s="926" t="s">
        <v>787</v>
      </c>
      <c r="M11" s="926">
        <v>12</v>
      </c>
      <c r="N11" s="926">
        <v>13</v>
      </c>
      <c r="O11" s="926">
        <v>14</v>
      </c>
      <c r="P11" s="926" t="s">
        <v>788</v>
      </c>
      <c r="Q11" s="926">
        <v>16</v>
      </c>
      <c r="R11" s="926" t="s">
        <v>789</v>
      </c>
      <c r="S11" s="926">
        <v>18</v>
      </c>
      <c r="T11" s="926">
        <v>19</v>
      </c>
      <c r="U11" s="926">
        <v>20</v>
      </c>
      <c r="V11" s="926" t="s">
        <v>790</v>
      </c>
      <c r="W11" s="926" t="s">
        <v>791</v>
      </c>
      <c r="X11" s="926" t="s">
        <v>792</v>
      </c>
      <c r="Y11" s="926" t="s">
        <v>793</v>
      </c>
    </row>
    <row r="12" spans="1:25" hidden="1">
      <c r="A12" s="871"/>
      <c r="B12" s="871" t="s">
        <v>794</v>
      </c>
      <c r="C12" s="871"/>
      <c r="D12" s="871"/>
      <c r="E12" s="871"/>
      <c r="F12" s="873"/>
      <c r="G12" s="874"/>
      <c r="H12" s="874"/>
      <c r="I12" s="874"/>
      <c r="J12" s="874"/>
      <c r="K12" s="874"/>
      <c r="L12" s="874"/>
      <c r="M12" s="874"/>
      <c r="N12" s="874"/>
      <c r="O12" s="874"/>
      <c r="P12" s="874"/>
      <c r="Q12" s="874"/>
      <c r="R12" s="873"/>
      <c r="S12" s="873"/>
      <c r="T12" s="873"/>
      <c r="U12" s="874"/>
      <c r="V12" s="874"/>
      <c r="W12" s="874"/>
      <c r="X12" s="874"/>
      <c r="Y12" s="874"/>
    </row>
    <row r="13" spans="1:25" hidden="1">
      <c r="A13" s="871" t="s">
        <v>108</v>
      </c>
      <c r="B13" s="875" t="s">
        <v>795</v>
      </c>
      <c r="C13" s="875"/>
      <c r="D13" s="871"/>
      <c r="E13" s="871"/>
      <c r="F13" s="873"/>
      <c r="G13" s="874"/>
      <c r="H13" s="874"/>
      <c r="I13" s="874"/>
      <c r="J13" s="874"/>
      <c r="K13" s="874"/>
      <c r="L13" s="874"/>
      <c r="M13" s="874"/>
      <c r="N13" s="874"/>
      <c r="O13" s="874"/>
      <c r="P13" s="874"/>
      <c r="Q13" s="874"/>
      <c r="R13" s="873"/>
      <c r="S13" s="873"/>
      <c r="T13" s="873"/>
      <c r="U13" s="874"/>
      <c r="V13" s="874"/>
      <c r="W13" s="874"/>
      <c r="X13" s="874"/>
      <c r="Y13" s="874"/>
    </row>
    <row r="14" spans="1:25" ht="42" hidden="1">
      <c r="A14" s="871">
        <v>1</v>
      </c>
      <c r="B14" s="875" t="s">
        <v>796</v>
      </c>
      <c r="C14" s="875"/>
      <c r="D14" s="871"/>
      <c r="E14" s="871"/>
      <c r="F14" s="873"/>
      <c r="G14" s="874"/>
      <c r="H14" s="874"/>
      <c r="I14" s="874"/>
      <c r="J14" s="874"/>
      <c r="K14" s="874"/>
      <c r="L14" s="874"/>
      <c r="M14" s="874"/>
      <c r="N14" s="874"/>
      <c r="O14" s="874"/>
      <c r="P14" s="874"/>
      <c r="Q14" s="874"/>
      <c r="R14" s="873"/>
      <c r="S14" s="873"/>
      <c r="T14" s="873"/>
      <c r="U14" s="874"/>
      <c r="V14" s="874"/>
      <c r="W14" s="874"/>
      <c r="X14" s="874"/>
      <c r="Y14" s="874"/>
    </row>
    <row r="15" spans="1:25" hidden="1">
      <c r="A15" s="870" t="s">
        <v>797</v>
      </c>
      <c r="B15" s="876" t="s">
        <v>798</v>
      </c>
      <c r="C15" s="876"/>
      <c r="D15" s="870"/>
      <c r="E15" s="870"/>
      <c r="F15" s="877"/>
      <c r="G15" s="878"/>
      <c r="H15" s="878"/>
      <c r="I15" s="878"/>
      <c r="J15" s="878"/>
      <c r="K15" s="878"/>
      <c r="L15" s="878"/>
      <c r="M15" s="878"/>
      <c r="N15" s="878"/>
      <c r="O15" s="878"/>
      <c r="P15" s="878"/>
      <c r="Q15" s="878"/>
      <c r="R15" s="877"/>
      <c r="S15" s="877"/>
      <c r="T15" s="877"/>
      <c r="U15" s="878"/>
      <c r="V15" s="878"/>
      <c r="W15" s="878"/>
      <c r="X15" s="878"/>
      <c r="Y15" s="878"/>
    </row>
    <row r="16" spans="1:25" hidden="1">
      <c r="A16" s="870" t="s">
        <v>799</v>
      </c>
      <c r="B16" s="876" t="s">
        <v>800</v>
      </c>
      <c r="C16" s="876"/>
      <c r="D16" s="870"/>
      <c r="E16" s="870"/>
      <c r="F16" s="877"/>
      <c r="G16" s="878"/>
      <c r="H16" s="878"/>
      <c r="I16" s="878"/>
      <c r="J16" s="878"/>
      <c r="K16" s="878"/>
      <c r="L16" s="878"/>
      <c r="M16" s="878"/>
      <c r="N16" s="878"/>
      <c r="O16" s="878"/>
      <c r="P16" s="878"/>
      <c r="Q16" s="878"/>
      <c r="R16" s="877"/>
      <c r="S16" s="877"/>
      <c r="T16" s="877"/>
      <c r="U16" s="878"/>
      <c r="V16" s="878"/>
      <c r="W16" s="878"/>
      <c r="X16" s="878"/>
      <c r="Y16" s="878"/>
    </row>
    <row r="17" spans="1:25" hidden="1">
      <c r="A17" s="870" t="s">
        <v>801</v>
      </c>
      <c r="B17" s="876" t="s">
        <v>802</v>
      </c>
      <c r="C17" s="876"/>
      <c r="D17" s="870"/>
      <c r="E17" s="870"/>
      <c r="F17" s="877"/>
      <c r="G17" s="878"/>
      <c r="H17" s="878"/>
      <c r="I17" s="878"/>
      <c r="J17" s="878"/>
      <c r="K17" s="878"/>
      <c r="L17" s="878"/>
      <c r="M17" s="878"/>
      <c r="N17" s="878"/>
      <c r="O17" s="878"/>
      <c r="P17" s="878"/>
      <c r="Q17" s="878"/>
      <c r="R17" s="877"/>
      <c r="S17" s="877"/>
      <c r="T17" s="877"/>
      <c r="U17" s="878"/>
      <c r="V17" s="878"/>
      <c r="W17" s="878"/>
      <c r="X17" s="878"/>
      <c r="Y17" s="878"/>
    </row>
    <row r="18" spans="1:25" ht="21" hidden="1">
      <c r="A18" s="871">
        <v>2</v>
      </c>
      <c r="B18" s="875" t="s">
        <v>803</v>
      </c>
      <c r="C18" s="875"/>
      <c r="D18" s="871"/>
      <c r="E18" s="871"/>
      <c r="F18" s="873"/>
      <c r="G18" s="874"/>
      <c r="H18" s="874"/>
      <c r="I18" s="874"/>
      <c r="J18" s="874"/>
      <c r="K18" s="874"/>
      <c r="L18" s="874"/>
      <c r="M18" s="874"/>
      <c r="N18" s="874"/>
      <c r="O18" s="874"/>
      <c r="P18" s="874"/>
      <c r="Q18" s="874"/>
      <c r="R18" s="873"/>
      <c r="S18" s="873"/>
      <c r="T18" s="873"/>
      <c r="U18" s="874"/>
      <c r="V18" s="874"/>
      <c r="W18" s="874"/>
      <c r="X18" s="874"/>
      <c r="Y18" s="874"/>
    </row>
    <row r="19" spans="1:25" hidden="1">
      <c r="A19" s="870"/>
      <c r="B19" s="876" t="s">
        <v>804</v>
      </c>
      <c r="C19" s="876"/>
      <c r="D19" s="870"/>
      <c r="E19" s="870"/>
      <c r="F19" s="877"/>
      <c r="G19" s="878"/>
      <c r="H19" s="878"/>
      <c r="I19" s="878"/>
      <c r="J19" s="878"/>
      <c r="K19" s="878"/>
      <c r="L19" s="878"/>
      <c r="M19" s="878"/>
      <c r="N19" s="878"/>
      <c r="O19" s="878"/>
      <c r="P19" s="878"/>
      <c r="Q19" s="878"/>
      <c r="R19" s="877"/>
      <c r="S19" s="877"/>
      <c r="T19" s="877"/>
      <c r="U19" s="878"/>
      <c r="V19" s="878"/>
      <c r="W19" s="878"/>
      <c r="X19" s="878"/>
      <c r="Y19" s="878"/>
    </row>
    <row r="20" spans="1:25" hidden="1">
      <c r="A20" s="871" t="s">
        <v>112</v>
      </c>
      <c r="B20" s="875" t="s">
        <v>805</v>
      </c>
      <c r="C20" s="875"/>
      <c r="D20" s="871"/>
      <c r="E20" s="871"/>
      <c r="F20" s="873"/>
      <c r="G20" s="874"/>
      <c r="H20" s="874"/>
      <c r="I20" s="874"/>
      <c r="J20" s="874"/>
      <c r="K20" s="874"/>
      <c r="L20" s="874"/>
      <c r="M20" s="874"/>
      <c r="N20" s="874"/>
      <c r="O20" s="874"/>
      <c r="P20" s="874"/>
      <c r="Q20" s="874"/>
      <c r="R20" s="873"/>
      <c r="S20" s="873"/>
      <c r="T20" s="873"/>
      <c r="U20" s="874"/>
      <c r="V20" s="874"/>
      <c r="W20" s="874"/>
      <c r="X20" s="874"/>
      <c r="Y20" s="874"/>
    </row>
    <row r="21" spans="1:25" hidden="1">
      <c r="A21" s="871">
        <v>1</v>
      </c>
      <c r="B21" s="875" t="s">
        <v>806</v>
      </c>
      <c r="C21" s="875"/>
      <c r="D21" s="871"/>
      <c r="E21" s="871"/>
      <c r="F21" s="873"/>
      <c r="G21" s="874"/>
      <c r="H21" s="874"/>
      <c r="I21" s="874"/>
      <c r="J21" s="874"/>
      <c r="K21" s="874"/>
      <c r="L21" s="874"/>
      <c r="M21" s="874"/>
      <c r="N21" s="874"/>
      <c r="O21" s="874"/>
      <c r="P21" s="874"/>
      <c r="Q21" s="874"/>
      <c r="R21" s="873"/>
      <c r="S21" s="873"/>
      <c r="T21" s="873"/>
      <c r="U21" s="874"/>
      <c r="V21" s="874"/>
      <c r="W21" s="874"/>
      <c r="X21" s="874"/>
      <c r="Y21" s="874"/>
    </row>
    <row r="22" spans="1:25" ht="21" hidden="1">
      <c r="A22" s="870" t="s">
        <v>797</v>
      </c>
      <c r="B22" s="876" t="s">
        <v>807</v>
      </c>
      <c r="C22" s="876"/>
      <c r="D22" s="870"/>
      <c r="E22" s="870"/>
      <c r="F22" s="877"/>
      <c r="G22" s="878"/>
      <c r="H22" s="878"/>
      <c r="I22" s="878"/>
      <c r="J22" s="878"/>
      <c r="K22" s="878"/>
      <c r="L22" s="878"/>
      <c r="M22" s="878"/>
      <c r="N22" s="878"/>
      <c r="O22" s="878"/>
      <c r="P22" s="878"/>
      <c r="Q22" s="878"/>
      <c r="R22" s="877"/>
      <c r="S22" s="877"/>
      <c r="T22" s="877"/>
      <c r="U22" s="878"/>
      <c r="V22" s="878"/>
      <c r="W22" s="878"/>
      <c r="X22" s="878"/>
      <c r="Y22" s="878"/>
    </row>
    <row r="23" spans="1:25" ht="21" hidden="1">
      <c r="A23" s="870" t="s">
        <v>799</v>
      </c>
      <c r="B23" s="876" t="s">
        <v>808</v>
      </c>
      <c r="C23" s="876"/>
      <c r="D23" s="870"/>
      <c r="E23" s="870"/>
      <c r="F23" s="877"/>
      <c r="G23" s="878"/>
      <c r="H23" s="878"/>
      <c r="I23" s="878"/>
      <c r="J23" s="878"/>
      <c r="K23" s="878"/>
      <c r="L23" s="878"/>
      <c r="M23" s="878"/>
      <c r="N23" s="878"/>
      <c r="O23" s="878"/>
      <c r="P23" s="878"/>
      <c r="Q23" s="878"/>
      <c r="R23" s="877"/>
      <c r="S23" s="877"/>
      <c r="T23" s="877"/>
      <c r="U23" s="878"/>
      <c r="V23" s="878"/>
      <c r="W23" s="878"/>
      <c r="X23" s="878"/>
      <c r="Y23" s="878"/>
    </row>
    <row r="24" spans="1:25" hidden="1">
      <c r="A24" s="871">
        <v>2</v>
      </c>
      <c r="B24" s="875" t="s">
        <v>809</v>
      </c>
      <c r="C24" s="875"/>
      <c r="D24" s="871"/>
      <c r="E24" s="871"/>
      <c r="F24" s="873"/>
      <c r="G24" s="874"/>
      <c r="H24" s="874"/>
      <c r="I24" s="874"/>
      <c r="J24" s="874"/>
      <c r="K24" s="874"/>
      <c r="L24" s="874"/>
      <c r="M24" s="874"/>
      <c r="N24" s="874"/>
      <c r="O24" s="874"/>
      <c r="P24" s="874"/>
      <c r="Q24" s="874"/>
      <c r="R24" s="873"/>
      <c r="S24" s="873"/>
      <c r="T24" s="873"/>
      <c r="U24" s="874"/>
      <c r="V24" s="874"/>
      <c r="W24" s="874"/>
      <c r="X24" s="874"/>
      <c r="Y24" s="874"/>
    </row>
    <row r="25" spans="1:25" hidden="1">
      <c r="A25" s="870" t="s">
        <v>797</v>
      </c>
      <c r="B25" s="876" t="s">
        <v>810</v>
      </c>
      <c r="C25" s="876"/>
      <c r="D25" s="870"/>
      <c r="E25" s="870"/>
      <c r="F25" s="877"/>
      <c r="G25" s="878"/>
      <c r="H25" s="878"/>
      <c r="I25" s="878"/>
      <c r="J25" s="878"/>
      <c r="K25" s="878"/>
      <c r="L25" s="878"/>
      <c r="M25" s="878"/>
      <c r="N25" s="878"/>
      <c r="O25" s="878"/>
      <c r="P25" s="878"/>
      <c r="Q25" s="878"/>
      <c r="R25" s="877"/>
      <c r="S25" s="877"/>
      <c r="T25" s="877"/>
      <c r="U25" s="878"/>
      <c r="V25" s="878"/>
      <c r="W25" s="878"/>
      <c r="X25" s="878"/>
      <c r="Y25" s="878"/>
    </row>
    <row r="26" spans="1:25" hidden="1">
      <c r="A26" s="870" t="s">
        <v>799</v>
      </c>
      <c r="B26" s="876" t="s">
        <v>810</v>
      </c>
      <c r="C26" s="876"/>
      <c r="D26" s="870"/>
      <c r="E26" s="870"/>
      <c r="F26" s="877"/>
      <c r="G26" s="878"/>
      <c r="H26" s="878"/>
      <c r="I26" s="878"/>
      <c r="J26" s="878"/>
      <c r="K26" s="878"/>
      <c r="L26" s="878"/>
      <c r="M26" s="878"/>
      <c r="N26" s="878"/>
      <c r="O26" s="878"/>
      <c r="P26" s="878"/>
      <c r="Q26" s="878"/>
      <c r="R26" s="877"/>
      <c r="S26" s="877"/>
      <c r="T26" s="877"/>
      <c r="U26" s="878"/>
      <c r="V26" s="878"/>
      <c r="W26" s="878"/>
      <c r="X26" s="878"/>
      <c r="Y26" s="878"/>
    </row>
    <row r="27" spans="1:25" hidden="1">
      <c r="A27" s="871">
        <v>3</v>
      </c>
      <c r="B27" s="875" t="s">
        <v>811</v>
      </c>
      <c r="C27" s="875"/>
      <c r="D27" s="871"/>
      <c r="E27" s="871"/>
      <c r="F27" s="873"/>
      <c r="G27" s="874"/>
      <c r="H27" s="874"/>
      <c r="I27" s="874"/>
      <c r="J27" s="874"/>
      <c r="K27" s="874"/>
      <c r="L27" s="874"/>
      <c r="M27" s="874"/>
      <c r="N27" s="874"/>
      <c r="O27" s="874"/>
      <c r="P27" s="874"/>
      <c r="Q27" s="874"/>
      <c r="R27" s="873"/>
      <c r="S27" s="873"/>
      <c r="T27" s="873"/>
      <c r="U27" s="874"/>
      <c r="V27" s="874"/>
      <c r="W27" s="874"/>
      <c r="X27" s="874"/>
      <c r="Y27" s="874"/>
    </row>
    <row r="28" spans="1:25" ht="21" hidden="1">
      <c r="A28" s="870" t="s">
        <v>797</v>
      </c>
      <c r="B28" s="875" t="s">
        <v>812</v>
      </c>
      <c r="C28" s="875"/>
      <c r="D28" s="871"/>
      <c r="E28" s="871"/>
      <c r="F28" s="873"/>
      <c r="G28" s="874"/>
      <c r="H28" s="874"/>
      <c r="I28" s="874"/>
      <c r="J28" s="874"/>
      <c r="K28" s="874"/>
      <c r="L28" s="874"/>
      <c r="M28" s="874"/>
      <c r="N28" s="874"/>
      <c r="O28" s="874"/>
      <c r="P28" s="874"/>
      <c r="Q28" s="874"/>
      <c r="R28" s="873"/>
      <c r="S28" s="873"/>
      <c r="T28" s="873"/>
      <c r="U28" s="874"/>
      <c r="V28" s="874"/>
      <c r="W28" s="874"/>
      <c r="X28" s="874"/>
      <c r="Y28" s="874"/>
    </row>
    <row r="29" spans="1:25" hidden="1">
      <c r="A29" s="879"/>
      <c r="B29" s="880" t="s">
        <v>813</v>
      </c>
      <c r="C29" s="880"/>
      <c r="D29" s="879"/>
      <c r="E29" s="879"/>
      <c r="F29" s="881"/>
      <c r="G29" s="882"/>
      <c r="H29" s="882"/>
      <c r="I29" s="882"/>
      <c r="J29" s="882"/>
      <c r="K29" s="882"/>
      <c r="L29" s="882"/>
      <c r="M29" s="882"/>
      <c r="N29" s="882"/>
      <c r="O29" s="882"/>
      <c r="P29" s="882"/>
      <c r="Q29" s="882"/>
      <c r="R29" s="881"/>
      <c r="S29" s="881"/>
      <c r="T29" s="881"/>
      <c r="U29" s="882"/>
      <c r="V29" s="882"/>
      <c r="W29" s="882"/>
      <c r="X29" s="882"/>
      <c r="Y29" s="882"/>
    </row>
    <row r="30" spans="1:25" ht="21" hidden="1">
      <c r="A30" s="870" t="s">
        <v>799</v>
      </c>
      <c r="B30" s="875" t="s">
        <v>814</v>
      </c>
      <c r="C30" s="875"/>
      <c r="D30" s="871"/>
      <c r="E30" s="871"/>
      <c r="F30" s="873"/>
      <c r="G30" s="874"/>
      <c r="H30" s="874"/>
      <c r="I30" s="874"/>
      <c r="J30" s="874"/>
      <c r="K30" s="874"/>
      <c r="L30" s="874"/>
      <c r="M30" s="874"/>
      <c r="N30" s="874"/>
      <c r="O30" s="874"/>
      <c r="P30" s="874"/>
      <c r="Q30" s="874"/>
      <c r="R30" s="873"/>
      <c r="S30" s="873"/>
      <c r="T30" s="873"/>
      <c r="U30" s="874"/>
      <c r="V30" s="874"/>
      <c r="W30" s="874"/>
      <c r="X30" s="874"/>
      <c r="Y30" s="874"/>
    </row>
    <row r="31" spans="1:25" hidden="1">
      <c r="A31" s="879"/>
      <c r="B31" s="880" t="s">
        <v>813</v>
      </c>
      <c r="C31" s="880"/>
      <c r="D31" s="879"/>
      <c r="E31" s="879"/>
      <c r="F31" s="881"/>
      <c r="G31" s="882"/>
      <c r="H31" s="882"/>
      <c r="I31" s="882"/>
      <c r="J31" s="882"/>
      <c r="K31" s="882"/>
      <c r="L31" s="882"/>
      <c r="M31" s="882"/>
      <c r="N31" s="882"/>
      <c r="O31" s="882"/>
      <c r="P31" s="882"/>
      <c r="Q31" s="882"/>
      <c r="R31" s="881"/>
      <c r="S31" s="881"/>
      <c r="T31" s="881"/>
      <c r="U31" s="882"/>
      <c r="V31" s="882"/>
      <c r="W31" s="882"/>
      <c r="X31" s="882"/>
      <c r="Y31" s="882"/>
    </row>
    <row r="32" spans="1:25" hidden="1">
      <c r="A32" s="871">
        <v>4</v>
      </c>
      <c r="B32" s="875" t="s">
        <v>815</v>
      </c>
      <c r="C32" s="875"/>
      <c r="D32" s="871"/>
      <c r="E32" s="871"/>
      <c r="F32" s="873"/>
      <c r="G32" s="874"/>
      <c r="H32" s="874"/>
      <c r="I32" s="874"/>
      <c r="J32" s="874"/>
      <c r="K32" s="874"/>
      <c r="L32" s="874"/>
      <c r="M32" s="874"/>
      <c r="N32" s="874"/>
      <c r="O32" s="874"/>
      <c r="P32" s="874"/>
      <c r="Q32" s="874"/>
      <c r="R32" s="873"/>
      <c r="S32" s="873"/>
      <c r="T32" s="873"/>
      <c r="U32" s="874"/>
      <c r="V32" s="874"/>
      <c r="W32" s="874"/>
      <c r="X32" s="874"/>
      <c r="Y32" s="874"/>
    </row>
    <row r="33" spans="1:29" hidden="1">
      <c r="A33" s="879" t="s">
        <v>797</v>
      </c>
      <c r="B33" s="880" t="s">
        <v>816</v>
      </c>
      <c r="C33" s="880"/>
      <c r="D33" s="879"/>
      <c r="E33" s="879"/>
      <c r="F33" s="881"/>
      <c r="G33" s="882"/>
      <c r="H33" s="882"/>
      <c r="I33" s="882"/>
      <c r="J33" s="882"/>
      <c r="K33" s="882"/>
      <c r="L33" s="882"/>
      <c r="M33" s="882"/>
      <c r="N33" s="882"/>
      <c r="O33" s="882"/>
      <c r="P33" s="882"/>
      <c r="Q33" s="882"/>
      <c r="R33" s="881"/>
      <c r="S33" s="881"/>
      <c r="T33" s="881"/>
      <c r="U33" s="882"/>
      <c r="V33" s="882"/>
      <c r="W33" s="882"/>
      <c r="X33" s="882"/>
      <c r="Y33" s="882"/>
    </row>
    <row r="34" spans="1:29" hidden="1">
      <c r="A34" s="879" t="s">
        <v>799</v>
      </c>
      <c r="B34" s="880" t="s">
        <v>817</v>
      </c>
      <c r="C34" s="880"/>
      <c r="D34" s="879"/>
      <c r="E34" s="879"/>
      <c r="F34" s="881"/>
      <c r="G34" s="882"/>
      <c r="H34" s="882"/>
      <c r="I34" s="882"/>
      <c r="J34" s="882"/>
      <c r="K34" s="882"/>
      <c r="L34" s="882"/>
      <c r="M34" s="882"/>
      <c r="N34" s="882"/>
      <c r="O34" s="882"/>
      <c r="P34" s="882"/>
      <c r="Q34" s="882"/>
      <c r="R34" s="881"/>
      <c r="S34" s="881"/>
      <c r="T34" s="881"/>
      <c r="U34" s="882"/>
      <c r="V34" s="882"/>
      <c r="W34" s="882"/>
      <c r="X34" s="882"/>
      <c r="Y34" s="882"/>
    </row>
    <row r="35" spans="1:29" hidden="1">
      <c r="A35" s="879" t="s">
        <v>801</v>
      </c>
      <c r="B35" s="880" t="s">
        <v>818</v>
      </c>
      <c r="C35" s="880"/>
      <c r="D35" s="879"/>
      <c r="E35" s="879"/>
      <c r="F35" s="881"/>
      <c r="G35" s="882"/>
      <c r="H35" s="882"/>
      <c r="I35" s="882"/>
      <c r="J35" s="882"/>
      <c r="K35" s="882"/>
      <c r="L35" s="882"/>
      <c r="M35" s="882"/>
      <c r="N35" s="882"/>
      <c r="O35" s="882"/>
      <c r="P35" s="882"/>
      <c r="Q35" s="882"/>
      <c r="R35" s="881"/>
      <c r="S35" s="881"/>
      <c r="T35" s="881"/>
      <c r="U35" s="882"/>
      <c r="V35" s="882"/>
      <c r="W35" s="882"/>
      <c r="X35" s="882"/>
      <c r="Y35" s="882"/>
    </row>
    <row r="36" spans="1:29" hidden="1">
      <c r="A36" s="879" t="s">
        <v>325</v>
      </c>
      <c r="B36" s="880" t="s">
        <v>439</v>
      </c>
      <c r="C36" s="880"/>
      <c r="D36" s="879"/>
      <c r="E36" s="879"/>
      <c r="F36" s="881"/>
      <c r="G36" s="882"/>
      <c r="H36" s="882"/>
      <c r="I36" s="882"/>
      <c r="J36" s="882"/>
      <c r="K36" s="882"/>
      <c r="L36" s="882"/>
      <c r="M36" s="882"/>
      <c r="N36" s="882"/>
      <c r="O36" s="882"/>
      <c r="P36" s="882"/>
      <c r="Q36" s="882"/>
      <c r="R36" s="881"/>
      <c r="S36" s="881"/>
      <c r="T36" s="881"/>
      <c r="U36" s="882"/>
      <c r="V36" s="882"/>
      <c r="W36" s="882"/>
      <c r="X36" s="882"/>
      <c r="Y36" s="882"/>
    </row>
    <row r="37" spans="1:29" hidden="1">
      <c r="A37" s="871">
        <v>5</v>
      </c>
      <c r="B37" s="875" t="s">
        <v>819</v>
      </c>
      <c r="C37" s="875"/>
      <c r="D37" s="871"/>
      <c r="E37" s="871"/>
      <c r="F37" s="873"/>
      <c r="G37" s="874"/>
      <c r="H37" s="874"/>
      <c r="I37" s="874"/>
      <c r="J37" s="874"/>
      <c r="K37" s="874"/>
      <c r="L37" s="874"/>
      <c r="M37" s="874"/>
      <c r="N37" s="874"/>
      <c r="O37" s="874"/>
      <c r="P37" s="874"/>
      <c r="Q37" s="874"/>
      <c r="R37" s="873"/>
      <c r="S37" s="873"/>
      <c r="T37" s="873"/>
      <c r="U37" s="874"/>
      <c r="V37" s="874"/>
      <c r="W37" s="874"/>
      <c r="X37" s="874"/>
      <c r="Y37" s="874"/>
    </row>
    <row r="38" spans="1:29" hidden="1">
      <c r="A38" s="879"/>
      <c r="B38" s="880" t="s">
        <v>813</v>
      </c>
      <c r="C38" s="880"/>
      <c r="D38" s="879"/>
      <c r="E38" s="879"/>
      <c r="F38" s="881"/>
      <c r="G38" s="882"/>
      <c r="H38" s="882"/>
      <c r="I38" s="882"/>
      <c r="J38" s="882"/>
      <c r="K38" s="882"/>
      <c r="L38" s="882"/>
      <c r="M38" s="882"/>
      <c r="N38" s="882"/>
      <c r="O38" s="882"/>
      <c r="P38" s="882"/>
      <c r="Q38" s="882"/>
      <c r="R38" s="881"/>
      <c r="S38" s="881"/>
      <c r="T38" s="881"/>
      <c r="U38" s="882"/>
      <c r="V38" s="882"/>
      <c r="W38" s="882"/>
      <c r="X38" s="882"/>
      <c r="Y38" s="882"/>
    </row>
    <row r="39" spans="1:29" ht="31.5" hidden="1">
      <c r="A39" s="871">
        <v>6</v>
      </c>
      <c r="B39" s="875" t="s">
        <v>820</v>
      </c>
      <c r="C39" s="875"/>
      <c r="D39" s="871"/>
      <c r="E39" s="871"/>
      <c r="F39" s="873"/>
      <c r="G39" s="874"/>
      <c r="H39" s="874"/>
      <c r="I39" s="874"/>
      <c r="J39" s="874"/>
      <c r="K39" s="874"/>
      <c r="L39" s="874"/>
      <c r="M39" s="874"/>
      <c r="N39" s="874"/>
      <c r="O39" s="874"/>
      <c r="P39" s="874"/>
      <c r="Q39" s="874"/>
      <c r="R39" s="873"/>
      <c r="S39" s="873"/>
      <c r="T39" s="873"/>
      <c r="U39" s="874"/>
      <c r="V39" s="874"/>
      <c r="W39" s="874"/>
      <c r="X39" s="874"/>
      <c r="Y39" s="874"/>
    </row>
    <row r="40" spans="1:29" hidden="1">
      <c r="A40" s="870"/>
      <c r="B40" s="876" t="s">
        <v>821</v>
      </c>
      <c r="C40" s="876"/>
      <c r="D40" s="870"/>
      <c r="E40" s="870"/>
      <c r="F40" s="877"/>
      <c r="G40" s="878"/>
      <c r="H40" s="878"/>
      <c r="I40" s="878"/>
      <c r="J40" s="878"/>
      <c r="K40" s="878"/>
      <c r="L40" s="878"/>
      <c r="M40" s="878"/>
      <c r="N40" s="878"/>
      <c r="O40" s="878"/>
      <c r="P40" s="878"/>
      <c r="Q40" s="878"/>
      <c r="R40" s="877"/>
      <c r="S40" s="877"/>
      <c r="T40" s="877"/>
      <c r="U40" s="878"/>
      <c r="V40" s="878"/>
      <c r="W40" s="878"/>
      <c r="X40" s="878"/>
      <c r="Y40" s="878"/>
      <c r="Z40" s="510"/>
      <c r="AA40" s="510"/>
      <c r="AB40" s="510"/>
      <c r="AC40" s="510"/>
    </row>
    <row r="41" spans="1:29" hidden="1">
      <c r="A41" s="871">
        <v>7</v>
      </c>
      <c r="B41" s="875" t="s">
        <v>822</v>
      </c>
      <c r="C41" s="875"/>
      <c r="D41" s="871"/>
      <c r="E41" s="871"/>
      <c r="F41" s="873"/>
      <c r="G41" s="874"/>
      <c r="H41" s="874"/>
      <c r="I41" s="874"/>
      <c r="J41" s="874"/>
      <c r="K41" s="874"/>
      <c r="L41" s="874"/>
      <c r="M41" s="874"/>
      <c r="N41" s="874"/>
      <c r="O41" s="874"/>
      <c r="P41" s="874"/>
      <c r="Q41" s="874"/>
      <c r="R41" s="873"/>
      <c r="S41" s="873"/>
      <c r="T41" s="873"/>
      <c r="U41" s="874"/>
      <c r="V41" s="874"/>
      <c r="W41" s="874"/>
      <c r="X41" s="874"/>
      <c r="Y41" s="874"/>
      <c r="Z41" s="510"/>
      <c r="AA41" s="510">
        <v>175330658717</v>
      </c>
      <c r="AB41" s="510"/>
      <c r="AC41" s="510"/>
    </row>
    <row r="42" spans="1:29" ht="15" customHeight="1">
      <c r="A42" s="871"/>
      <c r="B42" s="883" t="s">
        <v>823</v>
      </c>
      <c r="C42" s="871"/>
      <c r="D42" s="871"/>
      <c r="E42" s="871"/>
      <c r="F42" s="884">
        <f>SUM(F43:F44)</f>
        <v>28708164251000</v>
      </c>
      <c r="G42" s="884">
        <f t="shared" ref="G42:Y42" si="0">SUM(G43:G44)</f>
        <v>17610290014888</v>
      </c>
      <c r="H42" s="884">
        <f t="shared" si="0"/>
        <v>353753954623</v>
      </c>
      <c r="I42" s="884">
        <f t="shared" si="0"/>
        <v>5538305556</v>
      </c>
      <c r="J42" s="884">
        <f t="shared" si="0"/>
        <v>164288464052</v>
      </c>
      <c r="K42" s="884">
        <f t="shared" si="0"/>
        <v>245643000000</v>
      </c>
      <c r="L42" s="884">
        <f t="shared" si="0"/>
        <v>217394944062</v>
      </c>
      <c r="M42" s="884">
        <f t="shared" si="0"/>
        <v>183867165062</v>
      </c>
      <c r="N42" s="884">
        <f t="shared" si="0"/>
        <v>33527779000</v>
      </c>
      <c r="O42" s="884">
        <f t="shared" si="0"/>
        <v>0</v>
      </c>
      <c r="P42" s="884">
        <f t="shared" si="0"/>
        <v>485289241</v>
      </c>
      <c r="Q42" s="884">
        <f t="shared" si="0"/>
        <v>1795092000000</v>
      </c>
      <c r="R42" s="884">
        <f t="shared" si="0"/>
        <v>1598490717075</v>
      </c>
      <c r="S42" s="884">
        <f t="shared" si="0"/>
        <v>1333012383766</v>
      </c>
      <c r="T42" s="884">
        <f t="shared" si="0"/>
        <v>265478333309</v>
      </c>
      <c r="U42" s="884">
        <f t="shared" si="0"/>
        <v>0</v>
      </c>
      <c r="V42" s="884">
        <f t="shared" si="0"/>
        <v>26056217032</v>
      </c>
      <c r="W42" s="884">
        <f>SUM(W43:W44)</f>
        <v>1684382012880</v>
      </c>
      <c r="X42" s="884">
        <f t="shared" si="0"/>
        <v>482933297324</v>
      </c>
      <c r="Y42" s="884">
        <f t="shared" si="0"/>
        <v>19464275873621</v>
      </c>
      <c r="Z42" s="510">
        <v>3214000000</v>
      </c>
      <c r="AA42" s="510">
        <f>AA43-W43</f>
        <v>174016824958</v>
      </c>
      <c r="AB42" s="510">
        <f>AA42-AA41</f>
        <v>-1313833759</v>
      </c>
      <c r="AC42" s="510"/>
    </row>
    <row r="43" spans="1:29" s="512" customFormat="1" ht="15" customHeight="1">
      <c r="A43" s="879"/>
      <c r="B43" s="885" t="s">
        <v>2</v>
      </c>
      <c r="C43" s="879"/>
      <c r="D43" s="879"/>
      <c r="E43" s="879"/>
      <c r="F43" s="886">
        <f t="shared" ref="F43:Y43" si="1">F46+F473</f>
        <v>26808097251000</v>
      </c>
      <c r="G43" s="886">
        <f t="shared" si="1"/>
        <v>16776990285546</v>
      </c>
      <c r="H43" s="886">
        <f t="shared" si="1"/>
        <v>353753954623</v>
      </c>
      <c r="I43" s="886">
        <f t="shared" si="1"/>
        <v>5538305556</v>
      </c>
      <c r="J43" s="886">
        <f t="shared" si="1"/>
        <v>164288464052</v>
      </c>
      <c r="K43" s="886">
        <f t="shared" si="1"/>
        <v>245643000000</v>
      </c>
      <c r="L43" s="886">
        <f t="shared" si="1"/>
        <v>217394944062</v>
      </c>
      <c r="M43" s="886">
        <f t="shared" si="1"/>
        <v>183867165062</v>
      </c>
      <c r="N43" s="886">
        <f t="shared" si="1"/>
        <v>33527779000</v>
      </c>
      <c r="O43" s="886">
        <f t="shared" si="1"/>
        <v>0</v>
      </c>
      <c r="P43" s="886">
        <f t="shared" si="1"/>
        <v>485289241</v>
      </c>
      <c r="Q43" s="886">
        <f t="shared" si="1"/>
        <v>1350263000000</v>
      </c>
      <c r="R43" s="886">
        <f t="shared" si="1"/>
        <v>1234823960252</v>
      </c>
      <c r="S43" s="886">
        <f t="shared" si="1"/>
        <v>969345626943</v>
      </c>
      <c r="T43" s="886">
        <f t="shared" si="1"/>
        <v>265478333309</v>
      </c>
      <c r="U43" s="886">
        <f t="shared" si="1"/>
        <v>0</v>
      </c>
      <c r="V43" s="886">
        <f t="shared" si="1"/>
        <v>54055000</v>
      </c>
      <c r="W43" s="886">
        <f t="shared" si="1"/>
        <v>1317501256057</v>
      </c>
      <c r="X43" s="886">
        <f t="shared" si="1"/>
        <v>482933297324</v>
      </c>
      <c r="Y43" s="886">
        <f t="shared" si="1"/>
        <v>18267309387456</v>
      </c>
      <c r="Z43" s="511">
        <f>+W42-Z42</f>
        <v>1681168012880</v>
      </c>
      <c r="AA43" s="511">
        <v>1491518081015</v>
      </c>
      <c r="AB43" s="511"/>
      <c r="AC43" s="511"/>
    </row>
    <row r="44" spans="1:29" s="512" customFormat="1" ht="15" customHeight="1">
      <c r="A44" s="879"/>
      <c r="B44" s="885" t="s">
        <v>3</v>
      </c>
      <c r="C44" s="879"/>
      <c r="D44" s="879"/>
      <c r="E44" s="879"/>
      <c r="F44" s="886">
        <f>F347</f>
        <v>1900067000000</v>
      </c>
      <c r="G44" s="886">
        <f t="shared" ref="G44:Y44" si="2">G347</f>
        <v>833299729342</v>
      </c>
      <c r="H44" s="886">
        <f t="shared" si="2"/>
        <v>0</v>
      </c>
      <c r="I44" s="886">
        <f t="shared" si="2"/>
        <v>0</v>
      </c>
      <c r="J44" s="886">
        <f t="shared" si="2"/>
        <v>0</v>
      </c>
      <c r="K44" s="886">
        <f t="shared" si="2"/>
        <v>0</v>
      </c>
      <c r="L44" s="886">
        <f t="shared" si="2"/>
        <v>0</v>
      </c>
      <c r="M44" s="886">
        <f t="shared" si="2"/>
        <v>0</v>
      </c>
      <c r="N44" s="886">
        <f t="shared" si="2"/>
        <v>0</v>
      </c>
      <c r="O44" s="886">
        <f t="shared" si="2"/>
        <v>0</v>
      </c>
      <c r="P44" s="886">
        <f t="shared" si="2"/>
        <v>0</v>
      </c>
      <c r="Q44" s="886">
        <f t="shared" si="2"/>
        <v>444829000000</v>
      </c>
      <c r="R44" s="886">
        <f t="shared" si="2"/>
        <v>363666756823</v>
      </c>
      <c r="S44" s="886">
        <f t="shared" si="2"/>
        <v>363666756823</v>
      </c>
      <c r="T44" s="886">
        <f t="shared" si="2"/>
        <v>0</v>
      </c>
      <c r="U44" s="886">
        <f t="shared" si="2"/>
        <v>0</v>
      </c>
      <c r="V44" s="886">
        <f t="shared" si="2"/>
        <v>26002162032</v>
      </c>
      <c r="W44" s="886">
        <f t="shared" si="2"/>
        <v>366880756823</v>
      </c>
      <c r="X44" s="886">
        <f t="shared" si="2"/>
        <v>0</v>
      </c>
      <c r="Y44" s="886">
        <f t="shared" si="2"/>
        <v>1196966486165</v>
      </c>
      <c r="Z44" s="511"/>
      <c r="AA44" s="511"/>
      <c r="AB44" s="511"/>
      <c r="AC44" s="511"/>
    </row>
    <row r="45" spans="1:29" ht="24.95" customHeight="1">
      <c r="A45" s="871" t="s">
        <v>51</v>
      </c>
      <c r="B45" s="883" t="s">
        <v>1465</v>
      </c>
      <c r="C45" s="875"/>
      <c r="D45" s="871"/>
      <c r="E45" s="871"/>
      <c r="F45" s="884">
        <f t="shared" ref="F45:Y45" si="3">F48+F345</f>
        <v>22433835851000</v>
      </c>
      <c r="G45" s="884">
        <f t="shared" si="3"/>
        <v>7468845513396</v>
      </c>
      <c r="H45" s="884">
        <f t="shared" si="3"/>
        <v>0</v>
      </c>
      <c r="I45" s="884">
        <f t="shared" si="3"/>
        <v>0</v>
      </c>
      <c r="J45" s="884">
        <f t="shared" si="3"/>
        <v>0</v>
      </c>
      <c r="K45" s="884">
        <f t="shared" si="3"/>
        <v>245643000000</v>
      </c>
      <c r="L45" s="884">
        <f t="shared" si="3"/>
        <v>217394944062</v>
      </c>
      <c r="M45" s="884">
        <f t="shared" si="3"/>
        <v>183867165062</v>
      </c>
      <c r="N45" s="884">
        <f t="shared" si="3"/>
        <v>33527779000</v>
      </c>
      <c r="O45" s="884">
        <f t="shared" si="3"/>
        <v>0</v>
      </c>
      <c r="P45" s="884">
        <f t="shared" si="3"/>
        <v>485289241</v>
      </c>
      <c r="Q45" s="884">
        <f t="shared" si="3"/>
        <v>1795092000000</v>
      </c>
      <c r="R45" s="884">
        <f t="shared" si="3"/>
        <v>1598490717075</v>
      </c>
      <c r="S45" s="884">
        <f t="shared" si="3"/>
        <v>1333012383766</v>
      </c>
      <c r="T45" s="884">
        <f t="shared" si="3"/>
        <v>265478333309</v>
      </c>
      <c r="U45" s="884">
        <f t="shared" si="3"/>
        <v>0</v>
      </c>
      <c r="V45" s="884">
        <f t="shared" si="3"/>
        <v>26056217032</v>
      </c>
      <c r="W45" s="884">
        <f t="shared" si="3"/>
        <v>1520093548828</v>
      </c>
      <c r="X45" s="884">
        <f t="shared" si="3"/>
        <v>299006112309</v>
      </c>
      <c r="Y45" s="884">
        <f t="shared" si="3"/>
        <v>9325603195129</v>
      </c>
      <c r="Z45" s="510">
        <v>1681168012880</v>
      </c>
      <c r="AA45" s="510"/>
      <c r="AB45" s="510"/>
      <c r="AC45" s="510"/>
    </row>
    <row r="46" spans="1:29" ht="15" customHeight="1">
      <c r="A46" s="871"/>
      <c r="B46" s="885" t="s">
        <v>2</v>
      </c>
      <c r="C46" s="875"/>
      <c r="D46" s="871"/>
      <c r="E46" s="871"/>
      <c r="F46" s="886">
        <f>F48+F346</f>
        <v>20533768851000</v>
      </c>
      <c r="G46" s="886">
        <f t="shared" ref="G46:Y46" si="4">G48+G346</f>
        <v>6635545784054</v>
      </c>
      <c r="H46" s="886">
        <f t="shared" si="4"/>
        <v>0</v>
      </c>
      <c r="I46" s="886">
        <f t="shared" si="4"/>
        <v>0</v>
      </c>
      <c r="J46" s="886">
        <f t="shared" si="4"/>
        <v>0</v>
      </c>
      <c r="K46" s="886">
        <f t="shared" si="4"/>
        <v>245643000000</v>
      </c>
      <c r="L46" s="886">
        <f t="shared" si="4"/>
        <v>217394944062</v>
      </c>
      <c r="M46" s="886">
        <f t="shared" si="4"/>
        <v>183867165062</v>
      </c>
      <c r="N46" s="886">
        <f t="shared" si="4"/>
        <v>33527779000</v>
      </c>
      <c r="O46" s="886">
        <f t="shared" si="4"/>
        <v>0</v>
      </c>
      <c r="P46" s="886">
        <f t="shared" si="4"/>
        <v>485289241</v>
      </c>
      <c r="Q46" s="886">
        <f t="shared" si="4"/>
        <v>1350263000000</v>
      </c>
      <c r="R46" s="886">
        <f t="shared" si="4"/>
        <v>1234823960252</v>
      </c>
      <c r="S46" s="886">
        <f t="shared" si="4"/>
        <v>969345626943</v>
      </c>
      <c r="T46" s="886">
        <f t="shared" si="4"/>
        <v>265478333309</v>
      </c>
      <c r="U46" s="886">
        <f t="shared" si="4"/>
        <v>0</v>
      </c>
      <c r="V46" s="886">
        <f t="shared" si="4"/>
        <v>54055000</v>
      </c>
      <c r="W46" s="886">
        <f>W48+W346</f>
        <v>1153212792005</v>
      </c>
      <c r="X46" s="886">
        <f t="shared" si="4"/>
        <v>299006112309</v>
      </c>
      <c r="Y46" s="886">
        <f t="shared" si="4"/>
        <v>8128636708964</v>
      </c>
      <c r="Z46" s="510">
        <f>+Z43-Z45</f>
        <v>0</v>
      </c>
    </row>
    <row r="47" spans="1:29" ht="15" customHeight="1">
      <c r="A47" s="871"/>
      <c r="B47" s="885" t="s">
        <v>3</v>
      </c>
      <c r="C47" s="875"/>
      <c r="D47" s="871"/>
      <c r="E47" s="871"/>
      <c r="F47" s="886">
        <f>F347</f>
        <v>1900067000000</v>
      </c>
      <c r="G47" s="886">
        <f t="shared" ref="G47:Y47" si="5">G347</f>
        <v>833299729342</v>
      </c>
      <c r="H47" s="886">
        <f t="shared" si="5"/>
        <v>0</v>
      </c>
      <c r="I47" s="886">
        <f t="shared" si="5"/>
        <v>0</v>
      </c>
      <c r="J47" s="886">
        <f t="shared" si="5"/>
        <v>0</v>
      </c>
      <c r="K47" s="886">
        <f t="shared" si="5"/>
        <v>0</v>
      </c>
      <c r="L47" s="886">
        <f t="shared" si="5"/>
        <v>0</v>
      </c>
      <c r="M47" s="886">
        <f t="shared" si="5"/>
        <v>0</v>
      </c>
      <c r="N47" s="886">
        <f t="shared" si="5"/>
        <v>0</v>
      </c>
      <c r="O47" s="886">
        <f t="shared" si="5"/>
        <v>0</v>
      </c>
      <c r="P47" s="886">
        <f t="shared" si="5"/>
        <v>0</v>
      </c>
      <c r="Q47" s="886">
        <f t="shared" si="5"/>
        <v>444829000000</v>
      </c>
      <c r="R47" s="886">
        <f t="shared" si="5"/>
        <v>363666756823</v>
      </c>
      <c r="S47" s="886">
        <f t="shared" si="5"/>
        <v>363666756823</v>
      </c>
      <c r="T47" s="886">
        <f t="shared" si="5"/>
        <v>0</v>
      </c>
      <c r="U47" s="886">
        <f t="shared" si="5"/>
        <v>0</v>
      </c>
      <c r="V47" s="886">
        <f t="shared" si="5"/>
        <v>26002162032</v>
      </c>
      <c r="W47" s="886">
        <f t="shared" si="5"/>
        <v>366880756823</v>
      </c>
      <c r="X47" s="886">
        <f t="shared" si="5"/>
        <v>0</v>
      </c>
      <c r="Y47" s="886">
        <f t="shared" si="5"/>
        <v>1196966486165</v>
      </c>
      <c r="Z47" s="513">
        <f>SUM(W46:W47)</f>
        <v>1520093548828</v>
      </c>
    </row>
    <row r="48" spans="1:29" ht="15" customHeight="1">
      <c r="A48" s="871" t="s">
        <v>108</v>
      </c>
      <c r="B48" s="883" t="s">
        <v>1466</v>
      </c>
      <c r="C48" s="875"/>
      <c r="D48" s="871"/>
      <c r="E48" s="871"/>
      <c r="F48" s="884">
        <f>F49</f>
        <v>10018879851000</v>
      </c>
      <c r="G48" s="884">
        <f t="shared" ref="G48:Y48" si="6">G49</f>
        <v>2938970488276</v>
      </c>
      <c r="H48" s="884">
        <f t="shared" si="6"/>
        <v>0</v>
      </c>
      <c r="I48" s="884">
        <f t="shared" si="6"/>
        <v>0</v>
      </c>
      <c r="J48" s="884">
        <f t="shared" si="6"/>
        <v>0</v>
      </c>
      <c r="K48" s="884">
        <f t="shared" si="6"/>
        <v>0</v>
      </c>
      <c r="L48" s="884">
        <f t="shared" si="6"/>
        <v>0</v>
      </c>
      <c r="M48" s="884">
        <f t="shared" si="6"/>
        <v>0</v>
      </c>
      <c r="N48" s="884">
        <f t="shared" si="6"/>
        <v>0</v>
      </c>
      <c r="O48" s="884">
        <f t="shared" si="6"/>
        <v>0</v>
      </c>
      <c r="P48" s="884">
        <f t="shared" si="6"/>
        <v>0</v>
      </c>
      <c r="Q48" s="884">
        <f t="shared" si="6"/>
        <v>954544000000</v>
      </c>
      <c r="R48" s="884">
        <f t="shared" si="6"/>
        <v>903341834252</v>
      </c>
      <c r="S48" s="884">
        <f t="shared" si="6"/>
        <v>737232040402</v>
      </c>
      <c r="T48" s="884">
        <f t="shared" si="6"/>
        <v>166109793850</v>
      </c>
      <c r="U48" s="884">
        <f t="shared" si="6"/>
        <v>0</v>
      </c>
      <c r="V48" s="884">
        <f t="shared" si="6"/>
        <v>54055000</v>
      </c>
      <c r="W48" s="884">
        <f>W49</f>
        <v>737232040402</v>
      </c>
      <c r="X48" s="884">
        <f t="shared" si="6"/>
        <v>166109793850</v>
      </c>
      <c r="Y48" s="884">
        <f t="shared" si="6"/>
        <v>3884732053883</v>
      </c>
    </row>
    <row r="49" spans="1:25" ht="42" customHeight="1">
      <c r="A49" s="871">
        <v>1</v>
      </c>
      <c r="B49" s="883" t="s">
        <v>796</v>
      </c>
      <c r="C49" s="875"/>
      <c r="D49" s="871"/>
      <c r="E49" s="871"/>
      <c r="F49" s="884">
        <f>F51+F183</f>
        <v>10018879851000</v>
      </c>
      <c r="G49" s="884">
        <f t="shared" ref="G49:Y49" si="7">G51+G183</f>
        <v>2938970488276</v>
      </c>
      <c r="H49" s="884">
        <f t="shared" si="7"/>
        <v>0</v>
      </c>
      <c r="I49" s="884">
        <f t="shared" si="7"/>
        <v>0</v>
      </c>
      <c r="J49" s="884">
        <f t="shared" si="7"/>
        <v>0</v>
      </c>
      <c r="K49" s="884">
        <f t="shared" si="7"/>
        <v>0</v>
      </c>
      <c r="L49" s="884">
        <f t="shared" si="7"/>
        <v>0</v>
      </c>
      <c r="M49" s="884">
        <f t="shared" si="7"/>
        <v>0</v>
      </c>
      <c r="N49" s="884">
        <f t="shared" si="7"/>
        <v>0</v>
      </c>
      <c r="O49" s="884">
        <f t="shared" si="7"/>
        <v>0</v>
      </c>
      <c r="P49" s="884">
        <f t="shared" si="7"/>
        <v>0</v>
      </c>
      <c r="Q49" s="884">
        <f t="shared" si="7"/>
        <v>954544000000</v>
      </c>
      <c r="R49" s="884">
        <f t="shared" si="7"/>
        <v>903341834252</v>
      </c>
      <c r="S49" s="884">
        <f t="shared" si="7"/>
        <v>737232040402</v>
      </c>
      <c r="T49" s="884">
        <f t="shared" si="7"/>
        <v>166109793850</v>
      </c>
      <c r="U49" s="884">
        <f t="shared" si="7"/>
        <v>0</v>
      </c>
      <c r="V49" s="884">
        <f t="shared" si="7"/>
        <v>54055000</v>
      </c>
      <c r="W49" s="884">
        <f>W51+W183</f>
        <v>737232040402</v>
      </c>
      <c r="X49" s="884">
        <f t="shared" si="7"/>
        <v>166109793850</v>
      </c>
      <c r="Y49" s="884">
        <f t="shared" si="7"/>
        <v>3884732053883</v>
      </c>
    </row>
    <row r="50" spans="1:25" ht="15" customHeight="1">
      <c r="A50" s="870" t="s">
        <v>797</v>
      </c>
      <c r="B50" s="887" t="s">
        <v>798</v>
      </c>
      <c r="C50" s="876"/>
      <c r="D50" s="870"/>
      <c r="E50" s="870"/>
      <c r="F50" s="862"/>
      <c r="G50" s="862"/>
      <c r="H50" s="862"/>
      <c r="I50" s="862"/>
      <c r="J50" s="862"/>
      <c r="K50" s="862"/>
      <c r="L50" s="862"/>
      <c r="M50" s="862"/>
      <c r="N50" s="862"/>
      <c r="O50" s="862"/>
      <c r="P50" s="862"/>
      <c r="Q50" s="862"/>
      <c r="R50" s="862"/>
      <c r="S50" s="862"/>
      <c r="T50" s="862"/>
      <c r="U50" s="862"/>
      <c r="V50" s="862"/>
      <c r="W50" s="862"/>
      <c r="X50" s="862"/>
      <c r="Y50" s="862"/>
    </row>
    <row r="51" spans="1:25" s="514" customFormat="1" ht="24.95" customHeight="1">
      <c r="A51" s="888"/>
      <c r="B51" s="889" t="s">
        <v>1467</v>
      </c>
      <c r="C51" s="890"/>
      <c r="D51" s="888"/>
      <c r="E51" s="888"/>
      <c r="F51" s="891">
        <f>F52+F67+F75+F91+F97+F103+F106+F134+F155</f>
        <v>4669758851000</v>
      </c>
      <c r="G51" s="891">
        <f>G52+G67+G75+G91+G97+G103+G106+G134+G155</f>
        <v>829753198505</v>
      </c>
      <c r="H51" s="891">
        <f t="shared" ref="H51:Y51" si="8">H52+H67+H75+H91+H97+H103+H106+H134+H155</f>
        <v>0</v>
      </c>
      <c r="I51" s="891">
        <f t="shared" si="8"/>
        <v>0</v>
      </c>
      <c r="J51" s="891">
        <f t="shared" si="8"/>
        <v>0</v>
      </c>
      <c r="K51" s="891">
        <f t="shared" si="8"/>
        <v>0</v>
      </c>
      <c r="L51" s="891">
        <f t="shared" si="8"/>
        <v>0</v>
      </c>
      <c r="M51" s="891">
        <f t="shared" si="8"/>
        <v>0</v>
      </c>
      <c r="N51" s="891">
        <f t="shared" si="8"/>
        <v>0</v>
      </c>
      <c r="O51" s="891">
        <f t="shared" si="8"/>
        <v>0</v>
      </c>
      <c r="P51" s="891">
        <f t="shared" si="8"/>
        <v>0</v>
      </c>
      <c r="Q51" s="891">
        <f t="shared" si="8"/>
        <v>353883000000</v>
      </c>
      <c r="R51" s="891">
        <f t="shared" si="8"/>
        <v>351969986023</v>
      </c>
      <c r="S51" s="891">
        <f t="shared" si="8"/>
        <v>270321850788</v>
      </c>
      <c r="T51" s="891">
        <f t="shared" si="8"/>
        <v>81648135235</v>
      </c>
      <c r="U51" s="891">
        <f t="shared" si="8"/>
        <v>0</v>
      </c>
      <c r="V51" s="891">
        <f t="shared" si="8"/>
        <v>54055000</v>
      </c>
      <c r="W51" s="891">
        <f t="shared" si="8"/>
        <v>270321850788</v>
      </c>
      <c r="X51" s="891">
        <f t="shared" si="8"/>
        <v>81648135235</v>
      </c>
      <c r="Y51" s="891">
        <f t="shared" si="8"/>
        <v>1224142915883</v>
      </c>
    </row>
    <row r="52" spans="1:25" ht="15" customHeight="1">
      <c r="A52" s="892" t="s">
        <v>108</v>
      </c>
      <c r="B52" s="893" t="s">
        <v>4</v>
      </c>
      <c r="C52" s="894"/>
      <c r="D52" s="870"/>
      <c r="E52" s="892"/>
      <c r="F52" s="884">
        <f>F53+F64</f>
        <v>482275000000</v>
      </c>
      <c r="G52" s="884">
        <f>G53+G64</f>
        <v>171604706738</v>
      </c>
      <c r="H52" s="884">
        <f t="shared" ref="H52:S52" si="9">H53+H64</f>
        <v>0</v>
      </c>
      <c r="I52" s="884">
        <f t="shared" si="9"/>
        <v>0</v>
      </c>
      <c r="J52" s="884">
        <f t="shared" si="9"/>
        <v>0</v>
      </c>
      <c r="K52" s="884">
        <f t="shared" si="9"/>
        <v>0</v>
      </c>
      <c r="L52" s="884">
        <f t="shared" si="9"/>
        <v>0</v>
      </c>
      <c r="M52" s="884">
        <f t="shared" si="9"/>
        <v>0</v>
      </c>
      <c r="N52" s="884">
        <f t="shared" si="9"/>
        <v>0</v>
      </c>
      <c r="O52" s="884">
        <f t="shared" si="9"/>
        <v>0</v>
      </c>
      <c r="P52" s="884">
        <f t="shared" si="9"/>
        <v>0</v>
      </c>
      <c r="Q52" s="884">
        <f t="shared" si="9"/>
        <v>17990000000</v>
      </c>
      <c r="R52" s="884">
        <f t="shared" si="9"/>
        <v>17957369000</v>
      </c>
      <c r="S52" s="884">
        <f t="shared" si="9"/>
        <v>16512982000</v>
      </c>
      <c r="T52" s="884">
        <f>T53+T64</f>
        <v>1444387000</v>
      </c>
      <c r="U52" s="884">
        <f t="shared" ref="U52:Y52" si="10">U53+U64</f>
        <v>0</v>
      </c>
      <c r="V52" s="884">
        <f t="shared" si="10"/>
        <v>0</v>
      </c>
      <c r="W52" s="884">
        <f t="shared" si="10"/>
        <v>16512982000</v>
      </c>
      <c r="X52" s="884">
        <f t="shared" si="10"/>
        <v>1444387000</v>
      </c>
      <c r="Y52" s="884">
        <f t="shared" si="10"/>
        <v>189562075738</v>
      </c>
    </row>
    <row r="53" spans="1:25" ht="15" customHeight="1">
      <c r="A53" s="895"/>
      <c r="B53" s="896" t="s">
        <v>5</v>
      </c>
      <c r="C53" s="897"/>
      <c r="D53" s="870"/>
      <c r="E53" s="895"/>
      <c r="F53" s="886">
        <f>SUM(F54:F58)</f>
        <v>475613000000</v>
      </c>
      <c r="G53" s="886">
        <f t="shared" ref="G53:Q53" si="11">SUM(G54:G58)</f>
        <v>171604706738</v>
      </c>
      <c r="H53" s="886">
        <f t="shared" si="11"/>
        <v>0</v>
      </c>
      <c r="I53" s="886">
        <f t="shared" si="11"/>
        <v>0</v>
      </c>
      <c r="J53" s="886">
        <f t="shared" si="11"/>
        <v>0</v>
      </c>
      <c r="K53" s="886">
        <f t="shared" si="11"/>
        <v>0</v>
      </c>
      <c r="L53" s="886">
        <f t="shared" si="11"/>
        <v>0</v>
      </c>
      <c r="M53" s="886">
        <f t="shared" si="11"/>
        <v>0</v>
      </c>
      <c r="N53" s="886">
        <f t="shared" si="11"/>
        <v>0</v>
      </c>
      <c r="O53" s="886">
        <f t="shared" si="11"/>
        <v>0</v>
      </c>
      <c r="P53" s="886">
        <f t="shared" si="11"/>
        <v>0</v>
      </c>
      <c r="Q53" s="886">
        <f t="shared" si="11"/>
        <v>14001000000</v>
      </c>
      <c r="R53" s="886">
        <f>SUM(R54:R58)</f>
        <v>13969330000</v>
      </c>
      <c r="S53" s="886">
        <f t="shared" ref="S53:Y53" si="12">SUM(S54:S58)</f>
        <v>13911124000</v>
      </c>
      <c r="T53" s="886">
        <f t="shared" si="12"/>
        <v>58206000</v>
      </c>
      <c r="U53" s="886">
        <f t="shared" si="12"/>
        <v>0</v>
      </c>
      <c r="V53" s="886">
        <f t="shared" si="12"/>
        <v>0</v>
      </c>
      <c r="W53" s="886">
        <f t="shared" si="12"/>
        <v>13911124000</v>
      </c>
      <c r="X53" s="886">
        <f t="shared" si="12"/>
        <v>58206000</v>
      </c>
      <c r="Y53" s="886">
        <f t="shared" si="12"/>
        <v>185574036738</v>
      </c>
    </row>
    <row r="54" spans="1:25" ht="42" customHeight="1">
      <c r="A54" s="898">
        <v>1</v>
      </c>
      <c r="B54" s="899" t="s">
        <v>535</v>
      </c>
      <c r="C54" s="900" t="s">
        <v>824</v>
      </c>
      <c r="D54" s="870" t="s">
        <v>825</v>
      </c>
      <c r="E54" s="898">
        <v>7555302</v>
      </c>
      <c r="F54" s="862">
        <v>5376000000</v>
      </c>
      <c r="G54" s="862">
        <v>1999888000</v>
      </c>
      <c r="H54" s="862"/>
      <c r="I54" s="862"/>
      <c r="J54" s="862"/>
      <c r="K54" s="862"/>
      <c r="L54" s="862"/>
      <c r="M54" s="862"/>
      <c r="N54" s="862"/>
      <c r="O54" s="862"/>
      <c r="P54" s="862"/>
      <c r="Q54" s="862">
        <v>3000000000</v>
      </c>
      <c r="R54" s="862">
        <f t="shared" ref="R54:R120" si="13">SUM(S54:T54)</f>
        <v>2968503000</v>
      </c>
      <c r="S54" s="862">
        <v>2968503000</v>
      </c>
      <c r="T54" s="862"/>
      <c r="U54" s="862"/>
      <c r="V54" s="862"/>
      <c r="W54" s="862">
        <f>J54+M54+S54</f>
        <v>2968503000</v>
      </c>
      <c r="X54" s="862">
        <f>H54-I54-J54+N54+T54</f>
        <v>0</v>
      </c>
      <c r="Y54" s="862">
        <f>G54+L54+R54</f>
        <v>4968391000</v>
      </c>
    </row>
    <row r="55" spans="1:25" ht="32.1" customHeight="1">
      <c r="A55" s="898">
        <v>2</v>
      </c>
      <c r="B55" s="899" t="s">
        <v>826</v>
      </c>
      <c r="C55" s="900" t="s">
        <v>827</v>
      </c>
      <c r="D55" s="870" t="s">
        <v>825</v>
      </c>
      <c r="E55" s="898">
        <v>7070714</v>
      </c>
      <c r="F55" s="862">
        <v>114560000000</v>
      </c>
      <c r="G55" s="862">
        <v>78991966000</v>
      </c>
      <c r="H55" s="862"/>
      <c r="I55" s="862"/>
      <c r="J55" s="862"/>
      <c r="K55" s="862"/>
      <c r="L55" s="862"/>
      <c r="M55" s="862"/>
      <c r="N55" s="862"/>
      <c r="O55" s="862"/>
      <c r="P55" s="862"/>
      <c r="Q55" s="862">
        <v>3306000000</v>
      </c>
      <c r="R55" s="862">
        <f t="shared" si="13"/>
        <v>3306000000</v>
      </c>
      <c r="S55" s="862">
        <v>3306000000</v>
      </c>
      <c r="T55" s="862"/>
      <c r="U55" s="862"/>
      <c r="V55" s="862"/>
      <c r="W55" s="862">
        <f t="shared" ref="W55:W118" si="14">J55+M55+S55</f>
        <v>3306000000</v>
      </c>
      <c r="X55" s="862">
        <f t="shared" ref="X55:X118" si="15">H55-I55-J55+N55+T55</f>
        <v>0</v>
      </c>
      <c r="Y55" s="862">
        <f t="shared" ref="Y55:Y118" si="16">G55+L55+R55</f>
        <v>82297966000</v>
      </c>
    </row>
    <row r="56" spans="1:25" ht="42" customHeight="1">
      <c r="A56" s="898">
        <v>3</v>
      </c>
      <c r="B56" s="899" t="s">
        <v>828</v>
      </c>
      <c r="C56" s="900" t="s">
        <v>829</v>
      </c>
      <c r="D56" s="870" t="s">
        <v>825</v>
      </c>
      <c r="E56" s="898">
        <v>7538681</v>
      </c>
      <c r="F56" s="862">
        <v>19345000000</v>
      </c>
      <c r="G56" s="862">
        <v>465091923</v>
      </c>
      <c r="H56" s="862"/>
      <c r="I56" s="862"/>
      <c r="J56" s="862"/>
      <c r="K56" s="862"/>
      <c r="L56" s="862"/>
      <c r="M56" s="862"/>
      <c r="N56" s="862"/>
      <c r="O56" s="862"/>
      <c r="P56" s="862"/>
      <c r="Q56" s="862">
        <v>2000000000</v>
      </c>
      <c r="R56" s="862">
        <f t="shared" si="13"/>
        <v>2000000000</v>
      </c>
      <c r="S56" s="862">
        <v>1941794000</v>
      </c>
      <c r="T56" s="862">
        <v>58206000</v>
      </c>
      <c r="U56" s="862"/>
      <c r="V56" s="862"/>
      <c r="W56" s="862">
        <f t="shared" si="14"/>
        <v>1941794000</v>
      </c>
      <c r="X56" s="862">
        <f t="shared" si="15"/>
        <v>58206000</v>
      </c>
      <c r="Y56" s="862">
        <f t="shared" si="16"/>
        <v>2465091923</v>
      </c>
    </row>
    <row r="57" spans="1:25" ht="24.95" customHeight="1">
      <c r="A57" s="898">
        <v>4</v>
      </c>
      <c r="B57" s="899" t="s">
        <v>830</v>
      </c>
      <c r="C57" s="900" t="s">
        <v>829</v>
      </c>
      <c r="D57" s="870" t="s">
        <v>825</v>
      </c>
      <c r="E57" s="898">
        <v>7002748</v>
      </c>
      <c r="F57" s="862">
        <v>300000000000</v>
      </c>
      <c r="G57" s="862">
        <v>72295011815</v>
      </c>
      <c r="H57" s="862"/>
      <c r="I57" s="862"/>
      <c r="J57" s="862"/>
      <c r="K57" s="862"/>
      <c r="L57" s="862"/>
      <c r="M57" s="862"/>
      <c r="N57" s="862"/>
      <c r="O57" s="862"/>
      <c r="P57" s="862"/>
      <c r="Q57" s="862">
        <v>700000000</v>
      </c>
      <c r="R57" s="862">
        <f t="shared" si="13"/>
        <v>700000000</v>
      </c>
      <c r="S57" s="862">
        <v>700000000</v>
      </c>
      <c r="T57" s="862"/>
      <c r="U57" s="862"/>
      <c r="V57" s="862"/>
      <c r="W57" s="862">
        <f t="shared" si="14"/>
        <v>700000000</v>
      </c>
      <c r="X57" s="862">
        <f t="shared" si="15"/>
        <v>0</v>
      </c>
      <c r="Y57" s="862">
        <f t="shared" si="16"/>
        <v>72995011815</v>
      </c>
    </row>
    <row r="58" spans="1:25" ht="24.95" customHeight="1">
      <c r="A58" s="898">
        <v>5</v>
      </c>
      <c r="B58" s="899" t="s">
        <v>831</v>
      </c>
      <c r="C58" s="900" t="s">
        <v>829</v>
      </c>
      <c r="D58" s="870" t="s">
        <v>825</v>
      </c>
      <c r="E58" s="898"/>
      <c r="F58" s="862">
        <f>SUM(F59:F63)</f>
        <v>36332000000</v>
      </c>
      <c r="G58" s="862">
        <f>SUM(G59:G63)</f>
        <v>17852749000</v>
      </c>
      <c r="H58" s="862">
        <f t="shared" ref="H58:K58" si="17">SUM(H59:H63)</f>
        <v>0</v>
      </c>
      <c r="I58" s="862">
        <f t="shared" si="17"/>
        <v>0</v>
      </c>
      <c r="J58" s="862">
        <f t="shared" si="17"/>
        <v>0</v>
      </c>
      <c r="K58" s="862">
        <f t="shared" si="17"/>
        <v>0</v>
      </c>
      <c r="L58" s="862">
        <f>SUM(L59:L63)</f>
        <v>0</v>
      </c>
      <c r="M58" s="862">
        <f t="shared" ref="M58:P58" si="18">SUM(M59:M63)</f>
        <v>0</v>
      </c>
      <c r="N58" s="862">
        <f t="shared" si="18"/>
        <v>0</v>
      </c>
      <c r="O58" s="862">
        <f t="shared" si="18"/>
        <v>0</v>
      </c>
      <c r="P58" s="862">
        <f t="shared" si="18"/>
        <v>0</v>
      </c>
      <c r="Q58" s="862">
        <f>SUM(Q59:Q63)</f>
        <v>4995000000</v>
      </c>
      <c r="R58" s="862">
        <f>SUM(R59:R63)</f>
        <v>4994827000</v>
      </c>
      <c r="S58" s="862">
        <f t="shared" ref="S58:W58" si="19">SUM(S59:S63)</f>
        <v>4994827000</v>
      </c>
      <c r="T58" s="862">
        <f t="shared" si="19"/>
        <v>0</v>
      </c>
      <c r="U58" s="862">
        <f t="shared" si="19"/>
        <v>0</v>
      </c>
      <c r="V58" s="862">
        <f t="shared" si="19"/>
        <v>0</v>
      </c>
      <c r="W58" s="862">
        <f t="shared" si="19"/>
        <v>4994827000</v>
      </c>
      <c r="X58" s="862">
        <f>SUM(X59:X63)</f>
        <v>0</v>
      </c>
      <c r="Y58" s="862">
        <f t="shared" ref="Y58" si="20">SUM(Y59:Y63)</f>
        <v>22847576000</v>
      </c>
    </row>
    <row r="59" spans="1:25" s="512" customFormat="1" ht="24.95" customHeight="1">
      <c r="A59" s="901"/>
      <c r="B59" s="902" t="s">
        <v>1554</v>
      </c>
      <c r="C59" s="903"/>
      <c r="D59" s="879" t="s">
        <v>825</v>
      </c>
      <c r="E59" s="901">
        <v>7590474</v>
      </c>
      <c r="F59" s="886">
        <v>6095000000</v>
      </c>
      <c r="G59" s="862">
        <v>4000000000</v>
      </c>
      <c r="H59" s="886"/>
      <c r="I59" s="886"/>
      <c r="J59" s="886"/>
      <c r="K59" s="886"/>
      <c r="L59" s="886"/>
      <c r="M59" s="886"/>
      <c r="N59" s="886"/>
      <c r="O59" s="886"/>
      <c r="P59" s="886"/>
      <c r="Q59" s="886">
        <v>800000000</v>
      </c>
      <c r="R59" s="886">
        <f t="shared" si="13"/>
        <v>800000000</v>
      </c>
      <c r="S59" s="886">
        <v>800000000</v>
      </c>
      <c r="T59" s="886"/>
      <c r="U59" s="886"/>
      <c r="V59" s="886"/>
      <c r="W59" s="886">
        <f t="shared" si="14"/>
        <v>800000000</v>
      </c>
      <c r="X59" s="886">
        <f t="shared" si="15"/>
        <v>0</v>
      </c>
      <c r="Y59" s="886">
        <f t="shared" si="16"/>
        <v>4800000000</v>
      </c>
    </row>
    <row r="60" spans="1:25" s="512" customFormat="1" ht="24.95" customHeight="1">
      <c r="A60" s="901"/>
      <c r="B60" s="902" t="s">
        <v>1508</v>
      </c>
      <c r="C60" s="903"/>
      <c r="D60" s="879" t="s">
        <v>825</v>
      </c>
      <c r="E60" s="901">
        <v>7590480</v>
      </c>
      <c r="F60" s="886">
        <v>9794000000</v>
      </c>
      <c r="G60" s="862">
        <v>5811000000</v>
      </c>
      <c r="H60" s="886"/>
      <c r="I60" s="886"/>
      <c r="J60" s="886"/>
      <c r="K60" s="886"/>
      <c r="L60" s="886"/>
      <c r="M60" s="886"/>
      <c r="N60" s="886"/>
      <c r="O60" s="886"/>
      <c r="P60" s="886"/>
      <c r="Q60" s="886">
        <v>1400000000</v>
      </c>
      <c r="R60" s="886">
        <f t="shared" si="13"/>
        <v>1400000000</v>
      </c>
      <c r="S60" s="886">
        <v>1400000000</v>
      </c>
      <c r="T60" s="886"/>
      <c r="U60" s="886"/>
      <c r="V60" s="886"/>
      <c r="W60" s="886">
        <f t="shared" si="14"/>
        <v>1400000000</v>
      </c>
      <c r="X60" s="886">
        <f t="shared" si="15"/>
        <v>0</v>
      </c>
      <c r="Y60" s="886">
        <f t="shared" si="16"/>
        <v>7211000000</v>
      </c>
    </row>
    <row r="61" spans="1:25" s="512" customFormat="1" ht="24.95" customHeight="1">
      <c r="A61" s="901"/>
      <c r="B61" s="902" t="s">
        <v>1509</v>
      </c>
      <c r="C61" s="903"/>
      <c r="D61" s="879" t="s">
        <v>825</v>
      </c>
      <c r="E61" s="901">
        <v>7590482</v>
      </c>
      <c r="F61" s="886">
        <v>8306000000</v>
      </c>
      <c r="G61" s="862">
        <v>3927144000</v>
      </c>
      <c r="H61" s="886"/>
      <c r="I61" s="886"/>
      <c r="J61" s="886"/>
      <c r="K61" s="886"/>
      <c r="L61" s="886"/>
      <c r="M61" s="886"/>
      <c r="N61" s="886"/>
      <c r="O61" s="886"/>
      <c r="P61" s="886"/>
      <c r="Q61" s="886">
        <v>1300000000</v>
      </c>
      <c r="R61" s="886">
        <f t="shared" si="13"/>
        <v>1300000000</v>
      </c>
      <c r="S61" s="886">
        <v>1300000000</v>
      </c>
      <c r="T61" s="886"/>
      <c r="U61" s="886"/>
      <c r="V61" s="886"/>
      <c r="W61" s="886">
        <f t="shared" si="14"/>
        <v>1300000000</v>
      </c>
      <c r="X61" s="886">
        <f t="shared" si="15"/>
        <v>0</v>
      </c>
      <c r="Y61" s="886">
        <f t="shared" si="16"/>
        <v>5227144000</v>
      </c>
    </row>
    <row r="62" spans="1:25" s="512" customFormat="1" ht="24.95" customHeight="1">
      <c r="A62" s="901"/>
      <c r="B62" s="902" t="s">
        <v>1510</v>
      </c>
      <c r="C62" s="903"/>
      <c r="D62" s="879" t="s">
        <v>825</v>
      </c>
      <c r="E62" s="901">
        <v>7590484</v>
      </c>
      <c r="F62" s="886">
        <v>5967000000</v>
      </c>
      <c r="G62" s="862">
        <v>2793987000</v>
      </c>
      <c r="H62" s="886"/>
      <c r="I62" s="886"/>
      <c r="J62" s="886"/>
      <c r="K62" s="886"/>
      <c r="L62" s="886"/>
      <c r="M62" s="886"/>
      <c r="N62" s="886"/>
      <c r="O62" s="886"/>
      <c r="P62" s="886"/>
      <c r="Q62" s="886">
        <v>995000000</v>
      </c>
      <c r="R62" s="886">
        <f t="shared" si="13"/>
        <v>994827000</v>
      </c>
      <c r="S62" s="886">
        <v>994827000</v>
      </c>
      <c r="T62" s="886"/>
      <c r="U62" s="886"/>
      <c r="V62" s="886"/>
      <c r="W62" s="886">
        <f t="shared" si="14"/>
        <v>994827000</v>
      </c>
      <c r="X62" s="886">
        <f t="shared" si="15"/>
        <v>0</v>
      </c>
      <c r="Y62" s="886">
        <f t="shared" si="16"/>
        <v>3788814000</v>
      </c>
    </row>
    <row r="63" spans="1:25" s="512" customFormat="1" ht="24.95" customHeight="1">
      <c r="A63" s="901"/>
      <c r="B63" s="902" t="s">
        <v>1511</v>
      </c>
      <c r="C63" s="903"/>
      <c r="D63" s="879" t="s">
        <v>825</v>
      </c>
      <c r="E63" s="901">
        <v>7590486</v>
      </c>
      <c r="F63" s="886">
        <v>6170000000</v>
      </c>
      <c r="G63" s="862">
        <v>1320618000</v>
      </c>
      <c r="H63" s="886"/>
      <c r="I63" s="886"/>
      <c r="J63" s="886"/>
      <c r="K63" s="886"/>
      <c r="L63" s="886"/>
      <c r="M63" s="886"/>
      <c r="N63" s="886"/>
      <c r="O63" s="886"/>
      <c r="P63" s="886"/>
      <c r="Q63" s="886">
        <v>500000000</v>
      </c>
      <c r="R63" s="886">
        <f t="shared" si="13"/>
        <v>500000000</v>
      </c>
      <c r="S63" s="886">
        <v>500000000</v>
      </c>
      <c r="T63" s="886"/>
      <c r="U63" s="886"/>
      <c r="V63" s="886"/>
      <c r="W63" s="886">
        <f t="shared" si="14"/>
        <v>500000000</v>
      </c>
      <c r="X63" s="886">
        <f t="shared" si="15"/>
        <v>0</v>
      </c>
      <c r="Y63" s="886">
        <f t="shared" si="16"/>
        <v>1820618000</v>
      </c>
    </row>
    <row r="64" spans="1:25" ht="15" customHeight="1">
      <c r="A64" s="904"/>
      <c r="B64" s="905" t="s">
        <v>564</v>
      </c>
      <c r="C64" s="906"/>
      <c r="D64" s="870"/>
      <c r="E64" s="904"/>
      <c r="F64" s="886">
        <f>SUM(F65:F66)</f>
        <v>6662000000</v>
      </c>
      <c r="G64" s="886">
        <f>SUM(G65:G66)</f>
        <v>0</v>
      </c>
      <c r="H64" s="886">
        <f t="shared" ref="H64:Q64" si="21">SUM(H65:H66)</f>
        <v>0</v>
      </c>
      <c r="I64" s="886">
        <f t="shared" si="21"/>
        <v>0</v>
      </c>
      <c r="J64" s="886">
        <f t="shared" si="21"/>
        <v>0</v>
      </c>
      <c r="K64" s="886">
        <f t="shared" si="21"/>
        <v>0</v>
      </c>
      <c r="L64" s="886">
        <f t="shared" si="21"/>
        <v>0</v>
      </c>
      <c r="M64" s="886">
        <f t="shared" si="21"/>
        <v>0</v>
      </c>
      <c r="N64" s="886">
        <f t="shared" si="21"/>
        <v>0</v>
      </c>
      <c r="O64" s="886">
        <f t="shared" si="21"/>
        <v>0</v>
      </c>
      <c r="P64" s="886">
        <f t="shared" si="21"/>
        <v>0</v>
      </c>
      <c r="Q64" s="886">
        <f t="shared" si="21"/>
        <v>3989000000</v>
      </c>
      <c r="R64" s="886">
        <f>SUM(R65:R66)</f>
        <v>3988039000</v>
      </c>
      <c r="S64" s="886">
        <f t="shared" ref="S64:Y64" si="22">SUM(S65:S66)</f>
        <v>2601858000</v>
      </c>
      <c r="T64" s="886">
        <f t="shared" si="22"/>
        <v>1386181000</v>
      </c>
      <c r="U64" s="886">
        <f t="shared" si="22"/>
        <v>0</v>
      </c>
      <c r="V64" s="886">
        <f t="shared" si="22"/>
        <v>0</v>
      </c>
      <c r="W64" s="886">
        <f t="shared" si="22"/>
        <v>2601858000</v>
      </c>
      <c r="X64" s="886">
        <f t="shared" si="22"/>
        <v>1386181000</v>
      </c>
      <c r="Y64" s="886">
        <f t="shared" si="22"/>
        <v>3988039000</v>
      </c>
    </row>
    <row r="65" spans="1:25" ht="32.1" customHeight="1">
      <c r="A65" s="898">
        <v>1</v>
      </c>
      <c r="B65" s="899" t="s">
        <v>832</v>
      </c>
      <c r="C65" s="900" t="s">
        <v>827</v>
      </c>
      <c r="D65" s="870" t="s">
        <v>825</v>
      </c>
      <c r="E65" s="898">
        <v>7606203</v>
      </c>
      <c r="F65" s="862">
        <v>3173000000</v>
      </c>
      <c r="G65" s="862"/>
      <c r="H65" s="862"/>
      <c r="I65" s="862"/>
      <c r="J65" s="862"/>
      <c r="K65" s="862"/>
      <c r="L65" s="862"/>
      <c r="M65" s="862"/>
      <c r="N65" s="862"/>
      <c r="O65" s="862"/>
      <c r="P65" s="862"/>
      <c r="Q65" s="862">
        <v>1989000000</v>
      </c>
      <c r="R65" s="862">
        <f t="shared" si="13"/>
        <v>1988039000</v>
      </c>
      <c r="S65" s="862">
        <v>1988039000</v>
      </c>
      <c r="T65" s="862"/>
      <c r="U65" s="862"/>
      <c r="V65" s="862"/>
      <c r="W65" s="862">
        <f t="shared" si="14"/>
        <v>1988039000</v>
      </c>
      <c r="X65" s="862">
        <f t="shared" si="15"/>
        <v>0</v>
      </c>
      <c r="Y65" s="862">
        <f t="shared" si="16"/>
        <v>1988039000</v>
      </c>
    </row>
    <row r="66" spans="1:25" ht="24.95" customHeight="1">
      <c r="A66" s="898">
        <v>2</v>
      </c>
      <c r="B66" s="899" t="s">
        <v>833</v>
      </c>
      <c r="C66" s="900" t="s">
        <v>829</v>
      </c>
      <c r="D66" s="870" t="s">
        <v>825</v>
      </c>
      <c r="E66" s="898">
        <v>7620722</v>
      </c>
      <c r="F66" s="862">
        <v>3489000000</v>
      </c>
      <c r="G66" s="862"/>
      <c r="H66" s="862"/>
      <c r="I66" s="862"/>
      <c r="J66" s="862"/>
      <c r="K66" s="862"/>
      <c r="L66" s="862"/>
      <c r="M66" s="862"/>
      <c r="N66" s="862"/>
      <c r="O66" s="862"/>
      <c r="P66" s="862"/>
      <c r="Q66" s="862">
        <v>2000000000</v>
      </c>
      <c r="R66" s="862">
        <f t="shared" si="13"/>
        <v>2000000000</v>
      </c>
      <c r="S66" s="862">
        <v>613819000</v>
      </c>
      <c r="T66" s="862">
        <v>1386181000</v>
      </c>
      <c r="U66" s="862"/>
      <c r="V66" s="862"/>
      <c r="W66" s="862">
        <f t="shared" si="14"/>
        <v>613819000</v>
      </c>
      <c r="X66" s="862">
        <f t="shared" si="15"/>
        <v>1386181000</v>
      </c>
      <c r="Y66" s="862">
        <f t="shared" si="16"/>
        <v>2000000000</v>
      </c>
    </row>
    <row r="67" spans="1:25" ht="15" customHeight="1">
      <c r="A67" s="892" t="s">
        <v>112</v>
      </c>
      <c r="B67" s="893" t="s">
        <v>834</v>
      </c>
      <c r="C67" s="907"/>
      <c r="D67" s="870"/>
      <c r="E67" s="892"/>
      <c r="F67" s="884">
        <f>F68+F73</f>
        <v>195201000000</v>
      </c>
      <c r="G67" s="884">
        <f>G68+G73</f>
        <v>88789517021</v>
      </c>
      <c r="H67" s="884">
        <f t="shared" ref="H67:Y67" si="23">H68+H73</f>
        <v>0</v>
      </c>
      <c r="I67" s="884">
        <f t="shared" si="23"/>
        <v>0</v>
      </c>
      <c r="J67" s="884">
        <f t="shared" si="23"/>
        <v>0</v>
      </c>
      <c r="K67" s="884">
        <f t="shared" si="23"/>
        <v>0</v>
      </c>
      <c r="L67" s="884">
        <f t="shared" si="23"/>
        <v>0</v>
      </c>
      <c r="M67" s="884">
        <f t="shared" si="23"/>
        <v>0</v>
      </c>
      <c r="N67" s="884">
        <f t="shared" si="23"/>
        <v>0</v>
      </c>
      <c r="O67" s="884">
        <f t="shared" si="23"/>
        <v>0</v>
      </c>
      <c r="P67" s="884">
        <f t="shared" si="23"/>
        <v>0</v>
      </c>
      <c r="Q67" s="884">
        <f t="shared" si="23"/>
        <v>26241000000</v>
      </c>
      <c r="R67" s="884">
        <f t="shared" si="23"/>
        <v>26238517133</v>
      </c>
      <c r="S67" s="884">
        <f t="shared" si="23"/>
        <v>22240156312</v>
      </c>
      <c r="T67" s="884">
        <f t="shared" si="23"/>
        <v>3998360821</v>
      </c>
      <c r="U67" s="884">
        <f t="shared" si="23"/>
        <v>0</v>
      </c>
      <c r="V67" s="884">
        <f t="shared" si="23"/>
        <v>0</v>
      </c>
      <c r="W67" s="884">
        <f t="shared" si="23"/>
        <v>22240156312</v>
      </c>
      <c r="X67" s="884">
        <f t="shared" si="23"/>
        <v>3998360821</v>
      </c>
      <c r="Y67" s="884">
        <f t="shared" si="23"/>
        <v>115028034154</v>
      </c>
    </row>
    <row r="68" spans="1:25" ht="15" customHeight="1">
      <c r="A68" s="895"/>
      <c r="B68" s="896" t="s">
        <v>5</v>
      </c>
      <c r="C68" s="908"/>
      <c r="D68" s="870"/>
      <c r="E68" s="895"/>
      <c r="F68" s="886">
        <f>SUM(F69:F72)</f>
        <v>172502000000</v>
      </c>
      <c r="G68" s="886">
        <f>SUM(G69:G72)</f>
        <v>88789517021</v>
      </c>
      <c r="H68" s="886">
        <f t="shared" ref="H68:K68" si="24">SUM(H69:H72)</f>
        <v>0</v>
      </c>
      <c r="I68" s="886">
        <f t="shared" si="24"/>
        <v>0</v>
      </c>
      <c r="J68" s="886">
        <f t="shared" si="24"/>
        <v>0</v>
      </c>
      <c r="K68" s="886">
        <f t="shared" si="24"/>
        <v>0</v>
      </c>
      <c r="L68" s="886">
        <f>SUM(L69:L72)</f>
        <v>0</v>
      </c>
      <c r="M68" s="886">
        <f t="shared" ref="M68:O68" si="25">SUM(M69:M72)</f>
        <v>0</v>
      </c>
      <c r="N68" s="886">
        <f t="shared" si="25"/>
        <v>0</v>
      </c>
      <c r="O68" s="886">
        <f t="shared" si="25"/>
        <v>0</v>
      </c>
      <c r="P68" s="886">
        <f>SUM(P69:P72)</f>
        <v>0</v>
      </c>
      <c r="Q68" s="886">
        <f t="shared" ref="Q68" si="26">SUM(Q69:Q72)</f>
        <v>15022000000</v>
      </c>
      <c r="R68" s="886">
        <f>SUM(R69:R72)</f>
        <v>15019517133</v>
      </c>
      <c r="S68" s="886">
        <f t="shared" ref="S68:W68" si="27">SUM(S69:S72)</f>
        <v>11466058312</v>
      </c>
      <c r="T68" s="886">
        <f t="shared" si="27"/>
        <v>3553458821</v>
      </c>
      <c r="U68" s="886">
        <f t="shared" si="27"/>
        <v>0</v>
      </c>
      <c r="V68" s="886">
        <f t="shared" si="27"/>
        <v>0</v>
      </c>
      <c r="W68" s="886">
        <f t="shared" si="27"/>
        <v>11466058312</v>
      </c>
      <c r="X68" s="886">
        <f>SUM(X69:X72)</f>
        <v>3553458821</v>
      </c>
      <c r="Y68" s="886">
        <f t="shared" ref="Y68" si="28">SUM(Y69:Y72)</f>
        <v>103809034154</v>
      </c>
    </row>
    <row r="69" spans="1:25" ht="24.95" customHeight="1">
      <c r="A69" s="898">
        <v>1</v>
      </c>
      <c r="B69" s="909" t="s">
        <v>10</v>
      </c>
      <c r="C69" s="861" t="s">
        <v>835</v>
      </c>
      <c r="D69" s="870" t="s">
        <v>825</v>
      </c>
      <c r="E69" s="910" t="s">
        <v>11</v>
      </c>
      <c r="F69" s="862">
        <v>89981000000</v>
      </c>
      <c r="G69" s="862">
        <v>25426391000</v>
      </c>
      <c r="H69" s="862"/>
      <c r="I69" s="862"/>
      <c r="J69" s="862"/>
      <c r="K69" s="862"/>
      <c r="L69" s="862"/>
      <c r="M69" s="862"/>
      <c r="N69" s="862"/>
      <c r="O69" s="862"/>
      <c r="P69" s="862"/>
      <c r="Q69" s="862">
        <v>10721000000</v>
      </c>
      <c r="R69" s="862">
        <f t="shared" si="13"/>
        <v>10721000000</v>
      </c>
      <c r="S69" s="862">
        <v>7185595000</v>
      </c>
      <c r="T69" s="862">
        <v>3535405000</v>
      </c>
      <c r="U69" s="862"/>
      <c r="V69" s="862"/>
      <c r="W69" s="862">
        <f t="shared" si="14"/>
        <v>7185595000</v>
      </c>
      <c r="X69" s="862">
        <f t="shared" si="15"/>
        <v>3535405000</v>
      </c>
      <c r="Y69" s="862">
        <f t="shared" si="16"/>
        <v>36147391000</v>
      </c>
    </row>
    <row r="70" spans="1:25" ht="24.95" customHeight="1">
      <c r="A70" s="898">
        <v>2</v>
      </c>
      <c r="B70" s="909" t="s">
        <v>1512</v>
      </c>
      <c r="C70" s="861" t="s">
        <v>836</v>
      </c>
      <c r="D70" s="870" t="s">
        <v>825</v>
      </c>
      <c r="E70" s="910" t="s">
        <v>537</v>
      </c>
      <c r="F70" s="862">
        <v>40000000000</v>
      </c>
      <c r="G70" s="862">
        <v>21941392981</v>
      </c>
      <c r="H70" s="862"/>
      <c r="I70" s="862"/>
      <c r="J70" s="862"/>
      <c r="K70" s="862"/>
      <c r="L70" s="862"/>
      <c r="M70" s="862"/>
      <c r="N70" s="862"/>
      <c r="O70" s="862"/>
      <c r="P70" s="862"/>
      <c r="Q70" s="862">
        <v>380000000</v>
      </c>
      <c r="R70" s="862">
        <f t="shared" si="13"/>
        <v>379216133</v>
      </c>
      <c r="S70" s="862">
        <v>361162312</v>
      </c>
      <c r="T70" s="862">
        <v>18053821</v>
      </c>
      <c r="U70" s="862"/>
      <c r="V70" s="862"/>
      <c r="W70" s="862">
        <f t="shared" si="14"/>
        <v>361162312</v>
      </c>
      <c r="X70" s="862">
        <f t="shared" si="15"/>
        <v>18053821</v>
      </c>
      <c r="Y70" s="862">
        <f t="shared" si="16"/>
        <v>22320609114</v>
      </c>
    </row>
    <row r="71" spans="1:25" ht="24.95" customHeight="1">
      <c r="A71" s="898">
        <v>3</v>
      </c>
      <c r="B71" s="909" t="s">
        <v>8</v>
      </c>
      <c r="C71" s="861" t="s">
        <v>836</v>
      </c>
      <c r="D71" s="870" t="s">
        <v>825</v>
      </c>
      <c r="E71" s="910" t="s">
        <v>9</v>
      </c>
      <c r="F71" s="862">
        <v>26264000000</v>
      </c>
      <c r="G71" s="862">
        <v>29119733040</v>
      </c>
      <c r="H71" s="862"/>
      <c r="I71" s="862"/>
      <c r="J71" s="862"/>
      <c r="K71" s="862"/>
      <c r="L71" s="862"/>
      <c r="M71" s="862"/>
      <c r="N71" s="862"/>
      <c r="O71" s="862"/>
      <c r="P71" s="862"/>
      <c r="Q71" s="862">
        <v>66000000</v>
      </c>
      <c r="R71" s="862">
        <f t="shared" si="13"/>
        <v>65295000</v>
      </c>
      <c r="S71" s="862">
        <v>65295000</v>
      </c>
      <c r="T71" s="862"/>
      <c r="U71" s="862"/>
      <c r="V71" s="862"/>
      <c r="W71" s="862">
        <f t="shared" si="14"/>
        <v>65295000</v>
      </c>
      <c r="X71" s="862">
        <f t="shared" si="15"/>
        <v>0</v>
      </c>
      <c r="Y71" s="862">
        <f t="shared" si="16"/>
        <v>29185028040</v>
      </c>
    </row>
    <row r="72" spans="1:25" ht="32.1" customHeight="1">
      <c r="A72" s="898">
        <v>4</v>
      </c>
      <c r="B72" s="909" t="s">
        <v>12</v>
      </c>
      <c r="C72" s="861" t="s">
        <v>835</v>
      </c>
      <c r="D72" s="870" t="s">
        <v>825</v>
      </c>
      <c r="E72" s="910" t="s">
        <v>13</v>
      </c>
      <c r="F72" s="862">
        <v>16257000000</v>
      </c>
      <c r="G72" s="862">
        <v>12302000000</v>
      </c>
      <c r="H72" s="862"/>
      <c r="I72" s="862"/>
      <c r="J72" s="862"/>
      <c r="K72" s="862"/>
      <c r="L72" s="862"/>
      <c r="M72" s="862"/>
      <c r="N72" s="862"/>
      <c r="O72" s="862"/>
      <c r="P72" s="862"/>
      <c r="Q72" s="862">
        <v>3855000000</v>
      </c>
      <c r="R72" s="862">
        <f t="shared" si="13"/>
        <v>3854006000</v>
      </c>
      <c r="S72" s="862">
        <v>3854006000</v>
      </c>
      <c r="T72" s="862"/>
      <c r="U72" s="862"/>
      <c r="V72" s="862"/>
      <c r="W72" s="862">
        <f t="shared" si="14"/>
        <v>3854006000</v>
      </c>
      <c r="X72" s="862">
        <f t="shared" si="15"/>
        <v>0</v>
      </c>
      <c r="Y72" s="862">
        <f t="shared" si="16"/>
        <v>16156006000</v>
      </c>
    </row>
    <row r="73" spans="1:25" ht="15" customHeight="1">
      <c r="A73" s="901"/>
      <c r="B73" s="902" t="s">
        <v>564</v>
      </c>
      <c r="C73" s="911"/>
      <c r="D73" s="870"/>
      <c r="E73" s="901"/>
      <c r="F73" s="886">
        <f>F74</f>
        <v>22699000000</v>
      </c>
      <c r="G73" s="886">
        <f>G74</f>
        <v>0</v>
      </c>
      <c r="H73" s="886">
        <f t="shared" ref="H73:Y73" si="29">H74</f>
        <v>0</v>
      </c>
      <c r="I73" s="886">
        <f t="shared" si="29"/>
        <v>0</v>
      </c>
      <c r="J73" s="886">
        <f t="shared" si="29"/>
        <v>0</v>
      </c>
      <c r="K73" s="886">
        <f t="shared" si="29"/>
        <v>0</v>
      </c>
      <c r="L73" s="886">
        <f t="shared" si="29"/>
        <v>0</v>
      </c>
      <c r="M73" s="886">
        <f t="shared" si="29"/>
        <v>0</v>
      </c>
      <c r="N73" s="886">
        <f t="shared" si="29"/>
        <v>0</v>
      </c>
      <c r="O73" s="886">
        <f t="shared" si="29"/>
        <v>0</v>
      </c>
      <c r="P73" s="886">
        <f t="shared" si="29"/>
        <v>0</v>
      </c>
      <c r="Q73" s="886">
        <f t="shared" si="29"/>
        <v>11219000000</v>
      </c>
      <c r="R73" s="886">
        <f t="shared" si="29"/>
        <v>11219000000</v>
      </c>
      <c r="S73" s="886">
        <f t="shared" si="29"/>
        <v>10774098000</v>
      </c>
      <c r="T73" s="886">
        <f t="shared" si="29"/>
        <v>444902000</v>
      </c>
      <c r="U73" s="886">
        <f t="shared" si="29"/>
        <v>0</v>
      </c>
      <c r="V73" s="886">
        <f t="shared" si="29"/>
        <v>0</v>
      </c>
      <c r="W73" s="886">
        <f t="shared" si="29"/>
        <v>10774098000</v>
      </c>
      <c r="X73" s="886">
        <f t="shared" si="29"/>
        <v>444902000</v>
      </c>
      <c r="Y73" s="886">
        <f t="shared" si="29"/>
        <v>11219000000</v>
      </c>
    </row>
    <row r="74" spans="1:25" ht="24.95" customHeight="1">
      <c r="A74" s="898">
        <v>1</v>
      </c>
      <c r="B74" s="909" t="s">
        <v>837</v>
      </c>
      <c r="C74" s="861" t="s">
        <v>836</v>
      </c>
      <c r="D74" s="870" t="s">
        <v>825</v>
      </c>
      <c r="E74" s="910" t="s">
        <v>838</v>
      </c>
      <c r="F74" s="862">
        <v>22699000000</v>
      </c>
      <c r="G74" s="862"/>
      <c r="H74" s="862"/>
      <c r="I74" s="862"/>
      <c r="J74" s="862"/>
      <c r="K74" s="862"/>
      <c r="L74" s="862"/>
      <c r="M74" s="862"/>
      <c r="N74" s="862"/>
      <c r="O74" s="862"/>
      <c r="P74" s="862"/>
      <c r="Q74" s="862">
        <v>11219000000</v>
      </c>
      <c r="R74" s="862">
        <f t="shared" si="13"/>
        <v>11219000000</v>
      </c>
      <c r="S74" s="862">
        <v>10774098000</v>
      </c>
      <c r="T74" s="862">
        <v>444902000</v>
      </c>
      <c r="U74" s="862"/>
      <c r="V74" s="862"/>
      <c r="W74" s="862">
        <f t="shared" si="14"/>
        <v>10774098000</v>
      </c>
      <c r="X74" s="862">
        <f t="shared" si="15"/>
        <v>444902000</v>
      </c>
      <c r="Y74" s="862">
        <f t="shared" si="16"/>
        <v>11219000000</v>
      </c>
    </row>
    <row r="75" spans="1:25" ht="15" customHeight="1">
      <c r="A75" s="892" t="s">
        <v>130</v>
      </c>
      <c r="B75" s="893" t="s">
        <v>15</v>
      </c>
      <c r="C75" s="900"/>
      <c r="D75" s="870"/>
      <c r="E75" s="892"/>
      <c r="F75" s="884">
        <f>F76+F86</f>
        <v>1074322000000</v>
      </c>
      <c r="G75" s="884">
        <f>G76+G86</f>
        <v>244242684254</v>
      </c>
      <c r="H75" s="884">
        <f t="shared" ref="H75:V75" si="30">H76+H86</f>
        <v>0</v>
      </c>
      <c r="I75" s="884">
        <f t="shared" si="30"/>
        <v>0</v>
      </c>
      <c r="J75" s="884">
        <f t="shared" si="30"/>
        <v>0</v>
      </c>
      <c r="K75" s="884">
        <f t="shared" si="30"/>
        <v>0</v>
      </c>
      <c r="L75" s="884">
        <f t="shared" si="30"/>
        <v>0</v>
      </c>
      <c r="M75" s="884">
        <f t="shared" si="30"/>
        <v>0</v>
      </c>
      <c r="N75" s="884">
        <f t="shared" si="30"/>
        <v>0</v>
      </c>
      <c r="O75" s="884">
        <f t="shared" si="30"/>
        <v>0</v>
      </c>
      <c r="P75" s="884">
        <f t="shared" si="30"/>
        <v>0</v>
      </c>
      <c r="Q75" s="884">
        <f t="shared" si="30"/>
        <v>54027000000</v>
      </c>
      <c r="R75" s="884">
        <f t="shared" si="30"/>
        <v>54023158540</v>
      </c>
      <c r="S75" s="884">
        <f t="shared" si="30"/>
        <v>41738449540</v>
      </c>
      <c r="T75" s="884">
        <f t="shared" si="30"/>
        <v>12284709000</v>
      </c>
      <c r="U75" s="884">
        <f t="shared" si="30"/>
        <v>0</v>
      </c>
      <c r="V75" s="884">
        <f t="shared" si="30"/>
        <v>0</v>
      </c>
      <c r="W75" s="884">
        <f>W76+W86</f>
        <v>41738449540</v>
      </c>
      <c r="X75" s="884">
        <f t="shared" ref="X75:Y75" si="31">X76+X86</f>
        <v>12284709000</v>
      </c>
      <c r="Y75" s="884">
        <f t="shared" si="31"/>
        <v>298265842794</v>
      </c>
    </row>
    <row r="76" spans="1:25" ht="15" customHeight="1">
      <c r="A76" s="910"/>
      <c r="B76" s="896" t="s">
        <v>5</v>
      </c>
      <c r="C76" s="900"/>
      <c r="D76" s="870"/>
      <c r="E76" s="895"/>
      <c r="F76" s="886">
        <f>SUM(F77:F85)</f>
        <v>1042892000000</v>
      </c>
      <c r="G76" s="886">
        <f>SUM(G77:G85)</f>
        <v>244242684254</v>
      </c>
      <c r="H76" s="886">
        <f t="shared" ref="H76:Q76" si="32">SUM(H77:H85)</f>
        <v>0</v>
      </c>
      <c r="I76" s="886">
        <f t="shared" si="32"/>
        <v>0</v>
      </c>
      <c r="J76" s="886">
        <f t="shared" si="32"/>
        <v>0</v>
      </c>
      <c r="K76" s="886">
        <f t="shared" si="32"/>
        <v>0</v>
      </c>
      <c r="L76" s="886">
        <f t="shared" si="32"/>
        <v>0</v>
      </c>
      <c r="M76" s="886">
        <f t="shared" si="32"/>
        <v>0</v>
      </c>
      <c r="N76" s="886">
        <f t="shared" si="32"/>
        <v>0</v>
      </c>
      <c r="O76" s="886">
        <f t="shared" si="32"/>
        <v>0</v>
      </c>
      <c r="P76" s="886">
        <f t="shared" si="32"/>
        <v>0</v>
      </c>
      <c r="Q76" s="886">
        <f t="shared" si="32"/>
        <v>44119000000</v>
      </c>
      <c r="R76" s="886">
        <f>SUM(R77:R85)</f>
        <v>44117309540</v>
      </c>
      <c r="S76" s="886">
        <f t="shared" ref="S76:Y76" si="33">SUM(S77:S85)</f>
        <v>34276694540</v>
      </c>
      <c r="T76" s="886">
        <f t="shared" si="33"/>
        <v>9840615000</v>
      </c>
      <c r="U76" s="886">
        <f t="shared" si="33"/>
        <v>0</v>
      </c>
      <c r="V76" s="886">
        <f t="shared" si="33"/>
        <v>0</v>
      </c>
      <c r="W76" s="886">
        <f t="shared" si="33"/>
        <v>34276694540</v>
      </c>
      <c r="X76" s="886">
        <f t="shared" si="33"/>
        <v>9840615000</v>
      </c>
      <c r="Y76" s="886">
        <f t="shared" si="33"/>
        <v>288359993794</v>
      </c>
    </row>
    <row r="77" spans="1:25" ht="32.1" customHeight="1">
      <c r="A77" s="910" t="s">
        <v>103</v>
      </c>
      <c r="B77" s="865" t="s">
        <v>839</v>
      </c>
      <c r="C77" s="900" t="s">
        <v>840</v>
      </c>
      <c r="D77" s="870" t="s">
        <v>825</v>
      </c>
      <c r="E77" s="863">
        <v>7007279</v>
      </c>
      <c r="F77" s="862">
        <v>550715000000</v>
      </c>
      <c r="G77" s="862">
        <v>18483423000</v>
      </c>
      <c r="H77" s="862"/>
      <c r="I77" s="862"/>
      <c r="J77" s="862"/>
      <c r="K77" s="862"/>
      <c r="L77" s="862"/>
      <c r="M77" s="862"/>
      <c r="N77" s="862"/>
      <c r="O77" s="862"/>
      <c r="P77" s="862"/>
      <c r="Q77" s="862">
        <v>935000000</v>
      </c>
      <c r="R77" s="862">
        <f t="shared" si="13"/>
        <v>934094000</v>
      </c>
      <c r="S77" s="862">
        <v>934094000</v>
      </c>
      <c r="T77" s="862"/>
      <c r="U77" s="862"/>
      <c r="V77" s="862"/>
      <c r="W77" s="862">
        <f t="shared" si="14"/>
        <v>934094000</v>
      </c>
      <c r="X77" s="862">
        <f t="shared" si="15"/>
        <v>0</v>
      </c>
      <c r="Y77" s="862">
        <f t="shared" si="16"/>
        <v>19417517000</v>
      </c>
    </row>
    <row r="78" spans="1:25" ht="32.1" customHeight="1">
      <c r="A78" s="910" t="s">
        <v>104</v>
      </c>
      <c r="B78" s="865" t="s">
        <v>17</v>
      </c>
      <c r="C78" s="900" t="s">
        <v>841</v>
      </c>
      <c r="D78" s="870" t="s">
        <v>825</v>
      </c>
      <c r="E78" s="863">
        <v>7004105</v>
      </c>
      <c r="F78" s="862">
        <v>110405000000</v>
      </c>
      <c r="G78" s="862">
        <v>92384571255</v>
      </c>
      <c r="H78" s="862"/>
      <c r="I78" s="862"/>
      <c r="J78" s="862"/>
      <c r="K78" s="862"/>
      <c r="L78" s="862"/>
      <c r="M78" s="862"/>
      <c r="N78" s="862"/>
      <c r="O78" s="862"/>
      <c r="P78" s="862"/>
      <c r="Q78" s="862">
        <v>10000000000</v>
      </c>
      <c r="R78" s="862">
        <f t="shared" si="13"/>
        <v>10000000000</v>
      </c>
      <c r="S78" s="862">
        <v>10000000000</v>
      </c>
      <c r="T78" s="862"/>
      <c r="U78" s="862"/>
      <c r="V78" s="862"/>
      <c r="W78" s="862">
        <f t="shared" si="14"/>
        <v>10000000000</v>
      </c>
      <c r="X78" s="862">
        <f t="shared" si="15"/>
        <v>0</v>
      </c>
      <c r="Y78" s="862">
        <f t="shared" si="16"/>
        <v>102384571255</v>
      </c>
    </row>
    <row r="79" spans="1:25" ht="42" customHeight="1">
      <c r="A79" s="910" t="s">
        <v>105</v>
      </c>
      <c r="B79" s="909" t="s">
        <v>1513</v>
      </c>
      <c r="C79" s="861" t="s">
        <v>842</v>
      </c>
      <c r="D79" s="870" t="s">
        <v>825</v>
      </c>
      <c r="E79" s="910" t="s">
        <v>18</v>
      </c>
      <c r="F79" s="862">
        <v>231080000000</v>
      </c>
      <c r="G79" s="862">
        <v>115019735999</v>
      </c>
      <c r="H79" s="862"/>
      <c r="I79" s="862"/>
      <c r="J79" s="862"/>
      <c r="K79" s="862"/>
      <c r="L79" s="862"/>
      <c r="M79" s="862"/>
      <c r="N79" s="862"/>
      <c r="O79" s="862"/>
      <c r="P79" s="862"/>
      <c r="Q79" s="862">
        <v>10000000000</v>
      </c>
      <c r="R79" s="862">
        <f t="shared" si="13"/>
        <v>10000000000</v>
      </c>
      <c r="S79" s="862">
        <v>10000000000</v>
      </c>
      <c r="T79" s="862"/>
      <c r="U79" s="862"/>
      <c r="V79" s="862"/>
      <c r="W79" s="862">
        <f t="shared" si="14"/>
        <v>10000000000</v>
      </c>
      <c r="X79" s="862">
        <f t="shared" si="15"/>
        <v>0</v>
      </c>
      <c r="Y79" s="862">
        <f t="shared" si="16"/>
        <v>125019735999</v>
      </c>
    </row>
    <row r="80" spans="1:25" ht="24.95" customHeight="1">
      <c r="A80" s="910" t="s">
        <v>147</v>
      </c>
      <c r="B80" s="909" t="s">
        <v>843</v>
      </c>
      <c r="C80" s="900" t="s">
        <v>841</v>
      </c>
      <c r="D80" s="870" t="s">
        <v>825</v>
      </c>
      <c r="E80" s="910" t="s">
        <v>538</v>
      </c>
      <c r="F80" s="862">
        <v>14989000000</v>
      </c>
      <c r="G80" s="862">
        <v>5300000000</v>
      </c>
      <c r="H80" s="862"/>
      <c r="I80" s="862"/>
      <c r="J80" s="862"/>
      <c r="K80" s="862"/>
      <c r="L80" s="862"/>
      <c r="M80" s="862"/>
      <c r="N80" s="862"/>
      <c r="O80" s="862"/>
      <c r="P80" s="862"/>
      <c r="Q80" s="862">
        <v>3346000000</v>
      </c>
      <c r="R80" s="862">
        <f t="shared" si="13"/>
        <v>3345618000</v>
      </c>
      <c r="S80" s="862">
        <v>3345618000</v>
      </c>
      <c r="T80" s="862"/>
      <c r="U80" s="862"/>
      <c r="V80" s="862"/>
      <c r="W80" s="862">
        <f t="shared" si="14"/>
        <v>3345618000</v>
      </c>
      <c r="X80" s="862">
        <f t="shared" si="15"/>
        <v>0</v>
      </c>
      <c r="Y80" s="862">
        <f t="shared" si="16"/>
        <v>8645618000</v>
      </c>
    </row>
    <row r="81" spans="1:25" ht="24.95" customHeight="1">
      <c r="A81" s="910" t="s">
        <v>477</v>
      </c>
      <c r="B81" s="865" t="s">
        <v>539</v>
      </c>
      <c r="C81" s="861" t="s">
        <v>844</v>
      </c>
      <c r="D81" s="870" t="s">
        <v>825</v>
      </c>
      <c r="E81" s="863">
        <v>7556274</v>
      </c>
      <c r="F81" s="862">
        <v>11685000000</v>
      </c>
      <c r="G81" s="862">
        <v>1999975000</v>
      </c>
      <c r="H81" s="862"/>
      <c r="I81" s="862"/>
      <c r="J81" s="862"/>
      <c r="K81" s="862"/>
      <c r="L81" s="862"/>
      <c r="M81" s="862"/>
      <c r="N81" s="862"/>
      <c r="O81" s="862"/>
      <c r="P81" s="862"/>
      <c r="Q81" s="862">
        <v>4000000000</v>
      </c>
      <c r="R81" s="862">
        <f t="shared" si="13"/>
        <v>3999836540</v>
      </c>
      <c r="S81" s="862">
        <v>3999836540</v>
      </c>
      <c r="T81" s="862"/>
      <c r="U81" s="862"/>
      <c r="V81" s="862"/>
      <c r="W81" s="862">
        <f t="shared" si="14"/>
        <v>3999836540</v>
      </c>
      <c r="X81" s="862">
        <f t="shared" si="15"/>
        <v>0</v>
      </c>
      <c r="Y81" s="862">
        <f t="shared" si="16"/>
        <v>5999811540</v>
      </c>
    </row>
    <row r="82" spans="1:25" ht="51.95" customHeight="1">
      <c r="A82" s="910" t="s">
        <v>106</v>
      </c>
      <c r="B82" s="865" t="s">
        <v>845</v>
      </c>
      <c r="C82" s="861" t="s">
        <v>844</v>
      </c>
      <c r="D82" s="870" t="s">
        <v>825</v>
      </c>
      <c r="E82" s="863">
        <v>7544671</v>
      </c>
      <c r="F82" s="862">
        <v>43644000000</v>
      </c>
      <c r="G82" s="862">
        <v>4228472000</v>
      </c>
      <c r="H82" s="862"/>
      <c r="I82" s="862"/>
      <c r="J82" s="862"/>
      <c r="K82" s="862"/>
      <c r="L82" s="862"/>
      <c r="M82" s="862"/>
      <c r="N82" s="862"/>
      <c r="O82" s="862"/>
      <c r="P82" s="862"/>
      <c r="Q82" s="862">
        <v>5000000000</v>
      </c>
      <c r="R82" s="862">
        <f t="shared" si="13"/>
        <v>5000000000</v>
      </c>
      <c r="S82" s="862"/>
      <c r="T82" s="862">
        <v>5000000000</v>
      </c>
      <c r="U82" s="862"/>
      <c r="V82" s="862"/>
      <c r="W82" s="862">
        <f t="shared" si="14"/>
        <v>0</v>
      </c>
      <c r="X82" s="862">
        <f t="shared" si="15"/>
        <v>5000000000</v>
      </c>
      <c r="Y82" s="862">
        <f t="shared" si="16"/>
        <v>9228472000</v>
      </c>
    </row>
    <row r="83" spans="1:25" ht="42" customHeight="1">
      <c r="A83" s="910" t="s">
        <v>588</v>
      </c>
      <c r="B83" s="865" t="s">
        <v>846</v>
      </c>
      <c r="C83" s="861" t="s">
        <v>847</v>
      </c>
      <c r="D83" s="870" t="s">
        <v>825</v>
      </c>
      <c r="E83" s="863">
        <v>7553073</v>
      </c>
      <c r="F83" s="862">
        <v>11748000000</v>
      </c>
      <c r="G83" s="862">
        <v>2384000000</v>
      </c>
      <c r="H83" s="862"/>
      <c r="I83" s="862"/>
      <c r="J83" s="862"/>
      <c r="K83" s="862"/>
      <c r="L83" s="862"/>
      <c r="M83" s="862"/>
      <c r="N83" s="862"/>
      <c r="O83" s="862"/>
      <c r="P83" s="862"/>
      <c r="Q83" s="862">
        <v>4500000000</v>
      </c>
      <c r="R83" s="862">
        <f t="shared" si="13"/>
        <v>4500000000</v>
      </c>
      <c r="S83" s="862">
        <v>1139385000</v>
      </c>
      <c r="T83" s="862">
        <v>3360615000</v>
      </c>
      <c r="U83" s="862"/>
      <c r="V83" s="862"/>
      <c r="W83" s="862">
        <f t="shared" si="14"/>
        <v>1139385000</v>
      </c>
      <c r="X83" s="862">
        <f t="shared" si="15"/>
        <v>3360615000</v>
      </c>
      <c r="Y83" s="862">
        <f t="shared" si="16"/>
        <v>6884000000</v>
      </c>
    </row>
    <row r="84" spans="1:25" ht="24.95" customHeight="1">
      <c r="A84" s="910" t="s">
        <v>589</v>
      </c>
      <c r="B84" s="865" t="s">
        <v>547</v>
      </c>
      <c r="C84" s="861" t="s">
        <v>848</v>
      </c>
      <c r="D84" s="870" t="s">
        <v>825</v>
      </c>
      <c r="E84" s="863">
        <v>7556693</v>
      </c>
      <c r="F84" s="862">
        <v>6417000000</v>
      </c>
      <c r="G84" s="862">
        <v>2500000000</v>
      </c>
      <c r="H84" s="862"/>
      <c r="I84" s="862"/>
      <c r="J84" s="862"/>
      <c r="K84" s="862"/>
      <c r="L84" s="862"/>
      <c r="M84" s="862"/>
      <c r="N84" s="862"/>
      <c r="O84" s="862"/>
      <c r="P84" s="862"/>
      <c r="Q84" s="862">
        <v>3500000000</v>
      </c>
      <c r="R84" s="862">
        <f t="shared" si="13"/>
        <v>3500000000</v>
      </c>
      <c r="S84" s="862">
        <v>3500000000</v>
      </c>
      <c r="T84" s="862"/>
      <c r="U84" s="862"/>
      <c r="V84" s="862"/>
      <c r="W84" s="862">
        <f t="shared" si="14"/>
        <v>3500000000</v>
      </c>
      <c r="X84" s="862">
        <f t="shared" si="15"/>
        <v>0</v>
      </c>
      <c r="Y84" s="862">
        <f t="shared" si="16"/>
        <v>6000000000</v>
      </c>
    </row>
    <row r="85" spans="1:25" ht="24.95" customHeight="1">
      <c r="A85" s="910" t="s">
        <v>591</v>
      </c>
      <c r="B85" s="909" t="s">
        <v>543</v>
      </c>
      <c r="C85" s="861" t="s">
        <v>849</v>
      </c>
      <c r="D85" s="870" t="s">
        <v>825</v>
      </c>
      <c r="E85" s="910" t="s">
        <v>544</v>
      </c>
      <c r="F85" s="862">
        <v>62209000000</v>
      </c>
      <c r="G85" s="862">
        <v>1942507000</v>
      </c>
      <c r="H85" s="862"/>
      <c r="I85" s="862"/>
      <c r="J85" s="862"/>
      <c r="K85" s="862"/>
      <c r="L85" s="862"/>
      <c r="M85" s="862"/>
      <c r="N85" s="862"/>
      <c r="O85" s="862"/>
      <c r="P85" s="862"/>
      <c r="Q85" s="862">
        <v>2838000000</v>
      </c>
      <c r="R85" s="862">
        <f t="shared" si="13"/>
        <v>2837761000</v>
      </c>
      <c r="S85" s="862">
        <v>1357761000</v>
      </c>
      <c r="T85" s="862">
        <v>1480000000</v>
      </c>
      <c r="U85" s="862"/>
      <c r="V85" s="862"/>
      <c r="W85" s="862">
        <f t="shared" si="14"/>
        <v>1357761000</v>
      </c>
      <c r="X85" s="862">
        <f t="shared" si="15"/>
        <v>1480000000</v>
      </c>
      <c r="Y85" s="862">
        <f t="shared" si="16"/>
        <v>4780268000</v>
      </c>
    </row>
    <row r="86" spans="1:25" ht="15" customHeight="1">
      <c r="A86" s="898"/>
      <c r="B86" s="902" t="s">
        <v>22</v>
      </c>
      <c r="C86" s="900"/>
      <c r="D86" s="870"/>
      <c r="E86" s="901"/>
      <c r="F86" s="886">
        <f>SUM(F87:F90)</f>
        <v>31430000000</v>
      </c>
      <c r="G86" s="886">
        <f>SUM(G87:G90)</f>
        <v>0</v>
      </c>
      <c r="H86" s="886">
        <f t="shared" ref="H86:Q86" si="34">SUM(H87:H90)</f>
        <v>0</v>
      </c>
      <c r="I86" s="886">
        <f t="shared" si="34"/>
        <v>0</v>
      </c>
      <c r="J86" s="886">
        <f t="shared" si="34"/>
        <v>0</v>
      </c>
      <c r="K86" s="886">
        <f t="shared" si="34"/>
        <v>0</v>
      </c>
      <c r="L86" s="886">
        <f t="shared" si="34"/>
        <v>0</v>
      </c>
      <c r="M86" s="886">
        <f t="shared" si="34"/>
        <v>0</v>
      </c>
      <c r="N86" s="886">
        <f t="shared" si="34"/>
        <v>0</v>
      </c>
      <c r="O86" s="886">
        <f t="shared" si="34"/>
        <v>0</v>
      </c>
      <c r="P86" s="886">
        <f t="shared" si="34"/>
        <v>0</v>
      </c>
      <c r="Q86" s="886">
        <f t="shared" si="34"/>
        <v>9908000000</v>
      </c>
      <c r="R86" s="886">
        <f>SUM(R87:R90)</f>
        <v>9905849000</v>
      </c>
      <c r="S86" s="886">
        <f t="shared" ref="S86:Y86" si="35">SUM(S87:S90)</f>
        <v>7461755000</v>
      </c>
      <c r="T86" s="886">
        <f t="shared" si="35"/>
        <v>2444094000</v>
      </c>
      <c r="U86" s="886">
        <f t="shared" si="35"/>
        <v>0</v>
      </c>
      <c r="V86" s="886">
        <f t="shared" si="35"/>
        <v>0</v>
      </c>
      <c r="W86" s="886">
        <f t="shared" si="35"/>
        <v>7461755000</v>
      </c>
      <c r="X86" s="886">
        <f t="shared" si="35"/>
        <v>2444094000</v>
      </c>
      <c r="Y86" s="886">
        <f t="shared" si="35"/>
        <v>9905849000</v>
      </c>
    </row>
    <row r="87" spans="1:25" ht="42" customHeight="1">
      <c r="A87" s="863">
        <v>1</v>
      </c>
      <c r="B87" s="909" t="s">
        <v>850</v>
      </c>
      <c r="C87" s="861" t="s">
        <v>835</v>
      </c>
      <c r="D87" s="870" t="s">
        <v>825</v>
      </c>
      <c r="E87" s="910" t="s">
        <v>851</v>
      </c>
      <c r="F87" s="862">
        <v>2877000000</v>
      </c>
      <c r="G87" s="862"/>
      <c r="H87" s="862"/>
      <c r="I87" s="862"/>
      <c r="J87" s="862"/>
      <c r="K87" s="862"/>
      <c r="L87" s="862"/>
      <c r="M87" s="862"/>
      <c r="N87" s="862"/>
      <c r="O87" s="862"/>
      <c r="P87" s="862"/>
      <c r="Q87" s="862">
        <v>2413000000</v>
      </c>
      <c r="R87" s="862">
        <f t="shared" si="13"/>
        <v>2412979000</v>
      </c>
      <c r="S87" s="862">
        <v>2366014000</v>
      </c>
      <c r="T87" s="862">
        <v>46965000</v>
      </c>
      <c r="U87" s="862"/>
      <c r="V87" s="862"/>
      <c r="W87" s="862">
        <f t="shared" si="14"/>
        <v>2366014000</v>
      </c>
      <c r="X87" s="862">
        <f t="shared" si="15"/>
        <v>46965000</v>
      </c>
      <c r="Y87" s="862">
        <f t="shared" si="16"/>
        <v>2412979000</v>
      </c>
    </row>
    <row r="88" spans="1:25" ht="32.1" customHeight="1">
      <c r="A88" s="863">
        <v>2</v>
      </c>
      <c r="B88" s="865" t="s">
        <v>852</v>
      </c>
      <c r="C88" s="861" t="s">
        <v>835</v>
      </c>
      <c r="D88" s="870" t="s">
        <v>825</v>
      </c>
      <c r="E88" s="863">
        <v>7608568</v>
      </c>
      <c r="F88" s="862">
        <v>8694000000</v>
      </c>
      <c r="G88" s="862"/>
      <c r="H88" s="862"/>
      <c r="I88" s="862"/>
      <c r="J88" s="862"/>
      <c r="K88" s="862"/>
      <c r="L88" s="862"/>
      <c r="M88" s="862"/>
      <c r="N88" s="862"/>
      <c r="O88" s="862"/>
      <c r="P88" s="862"/>
      <c r="Q88" s="862">
        <v>2000000000</v>
      </c>
      <c r="R88" s="862">
        <f t="shared" si="13"/>
        <v>1999445000</v>
      </c>
      <c r="S88" s="862">
        <f>214871000-555000</f>
        <v>214316000</v>
      </c>
      <c r="T88" s="862">
        <v>1785129000</v>
      </c>
      <c r="U88" s="862"/>
      <c r="V88" s="862"/>
      <c r="W88" s="862">
        <f t="shared" si="14"/>
        <v>214316000</v>
      </c>
      <c r="X88" s="862">
        <f t="shared" si="15"/>
        <v>1785129000</v>
      </c>
      <c r="Y88" s="862">
        <f t="shared" si="16"/>
        <v>1999445000</v>
      </c>
    </row>
    <row r="89" spans="1:25" ht="42" customHeight="1">
      <c r="A89" s="863">
        <v>3</v>
      </c>
      <c r="B89" s="909" t="s">
        <v>853</v>
      </c>
      <c r="C89" s="861" t="s">
        <v>842</v>
      </c>
      <c r="D89" s="870" t="s">
        <v>825</v>
      </c>
      <c r="E89" s="910" t="s">
        <v>854</v>
      </c>
      <c r="F89" s="862">
        <v>11814000000</v>
      </c>
      <c r="G89" s="862"/>
      <c r="H89" s="862"/>
      <c r="I89" s="862"/>
      <c r="J89" s="862"/>
      <c r="K89" s="862"/>
      <c r="L89" s="862"/>
      <c r="M89" s="862"/>
      <c r="N89" s="862"/>
      <c r="O89" s="862"/>
      <c r="P89" s="862"/>
      <c r="Q89" s="862">
        <v>1998000000</v>
      </c>
      <c r="R89" s="862">
        <f t="shared" si="13"/>
        <v>1997196000</v>
      </c>
      <c r="S89" s="862">
        <v>1435196000</v>
      </c>
      <c r="T89" s="862">
        <v>562000000</v>
      </c>
      <c r="U89" s="862"/>
      <c r="V89" s="862"/>
      <c r="W89" s="862">
        <f t="shared" si="14"/>
        <v>1435196000</v>
      </c>
      <c r="X89" s="862">
        <f t="shared" si="15"/>
        <v>562000000</v>
      </c>
      <c r="Y89" s="862">
        <f t="shared" si="16"/>
        <v>1997196000</v>
      </c>
    </row>
    <row r="90" spans="1:25" ht="42" customHeight="1">
      <c r="A90" s="863">
        <v>4</v>
      </c>
      <c r="B90" s="865" t="s">
        <v>855</v>
      </c>
      <c r="C90" s="861" t="s">
        <v>842</v>
      </c>
      <c r="D90" s="870" t="s">
        <v>825</v>
      </c>
      <c r="E90" s="863">
        <v>7564308</v>
      </c>
      <c r="F90" s="862">
        <v>8045000000</v>
      </c>
      <c r="G90" s="862"/>
      <c r="H90" s="862"/>
      <c r="I90" s="862"/>
      <c r="J90" s="862"/>
      <c r="K90" s="862"/>
      <c r="L90" s="862"/>
      <c r="M90" s="862"/>
      <c r="N90" s="862"/>
      <c r="O90" s="862"/>
      <c r="P90" s="862"/>
      <c r="Q90" s="862">
        <v>3497000000</v>
      </c>
      <c r="R90" s="862">
        <f t="shared" si="13"/>
        <v>3496229000</v>
      </c>
      <c r="S90" s="862">
        <v>3446229000</v>
      </c>
      <c r="T90" s="862">
        <v>50000000</v>
      </c>
      <c r="U90" s="862"/>
      <c r="V90" s="862"/>
      <c r="W90" s="862">
        <f t="shared" si="14"/>
        <v>3446229000</v>
      </c>
      <c r="X90" s="862">
        <f t="shared" si="15"/>
        <v>50000000</v>
      </c>
      <c r="Y90" s="862">
        <f t="shared" si="16"/>
        <v>3496229000</v>
      </c>
    </row>
    <row r="91" spans="1:25" ht="24.95" customHeight="1">
      <c r="A91" s="912" t="s">
        <v>401</v>
      </c>
      <c r="B91" s="893" t="s">
        <v>856</v>
      </c>
      <c r="C91" s="913"/>
      <c r="D91" s="870"/>
      <c r="E91" s="892"/>
      <c r="F91" s="884">
        <f>F92+F94</f>
        <v>737490000000</v>
      </c>
      <c r="G91" s="884">
        <f>G92+G94</f>
        <v>191036437703</v>
      </c>
      <c r="H91" s="884">
        <f t="shared" ref="H91:Y91" si="36">H92+H94</f>
        <v>0</v>
      </c>
      <c r="I91" s="884">
        <f t="shared" si="36"/>
        <v>0</v>
      </c>
      <c r="J91" s="884">
        <f t="shared" si="36"/>
        <v>0</v>
      </c>
      <c r="K91" s="884">
        <f t="shared" si="36"/>
        <v>0</v>
      </c>
      <c r="L91" s="884">
        <f t="shared" si="36"/>
        <v>0</v>
      </c>
      <c r="M91" s="884">
        <f t="shared" si="36"/>
        <v>0</v>
      </c>
      <c r="N91" s="884">
        <f t="shared" si="36"/>
        <v>0</v>
      </c>
      <c r="O91" s="884">
        <f t="shared" si="36"/>
        <v>0</v>
      </c>
      <c r="P91" s="884">
        <f t="shared" si="36"/>
        <v>0</v>
      </c>
      <c r="Q91" s="884">
        <f t="shared" si="36"/>
        <v>20000000000</v>
      </c>
      <c r="R91" s="884">
        <f t="shared" si="36"/>
        <v>20000000000</v>
      </c>
      <c r="S91" s="884">
        <f t="shared" si="36"/>
        <v>19953359846</v>
      </c>
      <c r="T91" s="884">
        <f t="shared" si="36"/>
        <v>46640154</v>
      </c>
      <c r="U91" s="884">
        <f t="shared" si="36"/>
        <v>0</v>
      </c>
      <c r="V91" s="884">
        <f t="shared" si="36"/>
        <v>0</v>
      </c>
      <c r="W91" s="884">
        <f t="shared" si="36"/>
        <v>19953359846</v>
      </c>
      <c r="X91" s="884">
        <f t="shared" si="36"/>
        <v>46640154</v>
      </c>
      <c r="Y91" s="884">
        <f t="shared" si="36"/>
        <v>211036437703</v>
      </c>
    </row>
    <row r="92" spans="1:25" ht="15" customHeight="1">
      <c r="A92" s="895"/>
      <c r="B92" s="896" t="s">
        <v>5</v>
      </c>
      <c r="C92" s="903"/>
      <c r="D92" s="870"/>
      <c r="E92" s="895"/>
      <c r="F92" s="886">
        <f>F93</f>
        <v>674886000000</v>
      </c>
      <c r="G92" s="886">
        <f>G93</f>
        <v>176036437703</v>
      </c>
      <c r="H92" s="886">
        <f t="shared" ref="H92:Y92" si="37">H93</f>
        <v>0</v>
      </c>
      <c r="I92" s="886">
        <f t="shared" si="37"/>
        <v>0</v>
      </c>
      <c r="J92" s="886">
        <f t="shared" si="37"/>
        <v>0</v>
      </c>
      <c r="K92" s="886">
        <f t="shared" si="37"/>
        <v>0</v>
      </c>
      <c r="L92" s="886">
        <f t="shared" si="37"/>
        <v>0</v>
      </c>
      <c r="M92" s="886">
        <f t="shared" si="37"/>
        <v>0</v>
      </c>
      <c r="N92" s="886">
        <f t="shared" si="37"/>
        <v>0</v>
      </c>
      <c r="O92" s="886">
        <f t="shared" si="37"/>
        <v>0</v>
      </c>
      <c r="P92" s="886">
        <f t="shared" si="37"/>
        <v>0</v>
      </c>
      <c r="Q92" s="886">
        <f t="shared" si="37"/>
        <v>5000000000</v>
      </c>
      <c r="R92" s="886">
        <f t="shared" si="37"/>
        <v>5000000000</v>
      </c>
      <c r="S92" s="886">
        <f t="shared" si="37"/>
        <v>5000000000</v>
      </c>
      <c r="T92" s="886">
        <f t="shared" si="37"/>
        <v>0</v>
      </c>
      <c r="U92" s="886">
        <f t="shared" si="37"/>
        <v>0</v>
      </c>
      <c r="V92" s="886">
        <f t="shared" si="37"/>
        <v>0</v>
      </c>
      <c r="W92" s="886">
        <f t="shared" si="37"/>
        <v>5000000000</v>
      </c>
      <c r="X92" s="886">
        <f t="shared" si="37"/>
        <v>0</v>
      </c>
      <c r="Y92" s="886">
        <f t="shared" si="37"/>
        <v>181036437703</v>
      </c>
    </row>
    <row r="93" spans="1:25" ht="42" customHeight="1">
      <c r="A93" s="898">
        <v>1</v>
      </c>
      <c r="B93" s="909" t="s">
        <v>1453</v>
      </c>
      <c r="C93" s="861" t="s">
        <v>857</v>
      </c>
      <c r="D93" s="870" t="s">
        <v>825</v>
      </c>
      <c r="E93" s="910" t="s">
        <v>20</v>
      </c>
      <c r="F93" s="862">
        <v>674886000000</v>
      </c>
      <c r="G93" s="862">
        <v>176036437703</v>
      </c>
      <c r="H93" s="862"/>
      <c r="I93" s="862"/>
      <c r="J93" s="862"/>
      <c r="K93" s="862"/>
      <c r="L93" s="862"/>
      <c r="M93" s="862"/>
      <c r="N93" s="862"/>
      <c r="O93" s="862"/>
      <c r="P93" s="862"/>
      <c r="Q93" s="862">
        <v>5000000000</v>
      </c>
      <c r="R93" s="862">
        <f t="shared" si="13"/>
        <v>5000000000</v>
      </c>
      <c r="S93" s="862">
        <v>5000000000</v>
      </c>
      <c r="T93" s="862"/>
      <c r="U93" s="862"/>
      <c r="V93" s="862"/>
      <c r="W93" s="862">
        <f t="shared" si="14"/>
        <v>5000000000</v>
      </c>
      <c r="X93" s="862">
        <f t="shared" si="15"/>
        <v>0</v>
      </c>
      <c r="Y93" s="862">
        <f t="shared" si="16"/>
        <v>181036437703</v>
      </c>
    </row>
    <row r="94" spans="1:25" ht="15" customHeight="1">
      <c r="A94" s="901"/>
      <c r="B94" s="896" t="s">
        <v>858</v>
      </c>
      <c r="C94" s="911"/>
      <c r="D94" s="870"/>
      <c r="E94" s="895"/>
      <c r="F94" s="886">
        <f>SUM(F95:F96)</f>
        <v>62604000000</v>
      </c>
      <c r="G94" s="886">
        <f>SUM(G95:G96)</f>
        <v>15000000000</v>
      </c>
      <c r="H94" s="886">
        <f t="shared" ref="H94:Y94" si="38">SUM(H95:H96)</f>
        <v>0</v>
      </c>
      <c r="I94" s="886">
        <f t="shared" si="38"/>
        <v>0</v>
      </c>
      <c r="J94" s="886">
        <f t="shared" si="38"/>
        <v>0</v>
      </c>
      <c r="K94" s="886">
        <f t="shared" si="38"/>
        <v>0</v>
      </c>
      <c r="L94" s="886">
        <f t="shared" si="38"/>
        <v>0</v>
      </c>
      <c r="M94" s="886">
        <f t="shared" si="38"/>
        <v>0</v>
      </c>
      <c r="N94" s="886">
        <f t="shared" si="38"/>
        <v>0</v>
      </c>
      <c r="O94" s="886">
        <f t="shared" si="38"/>
        <v>0</v>
      </c>
      <c r="P94" s="886">
        <f t="shared" si="38"/>
        <v>0</v>
      </c>
      <c r="Q94" s="886">
        <f t="shared" si="38"/>
        <v>15000000000</v>
      </c>
      <c r="R94" s="886">
        <f t="shared" si="38"/>
        <v>15000000000</v>
      </c>
      <c r="S94" s="886">
        <f t="shared" si="38"/>
        <v>14953359846</v>
      </c>
      <c r="T94" s="886">
        <f t="shared" si="38"/>
        <v>46640154</v>
      </c>
      <c r="U94" s="886">
        <f t="shared" si="38"/>
        <v>0</v>
      </c>
      <c r="V94" s="886">
        <f t="shared" si="38"/>
        <v>0</v>
      </c>
      <c r="W94" s="886">
        <f t="shared" si="38"/>
        <v>14953359846</v>
      </c>
      <c r="X94" s="886">
        <f t="shared" si="38"/>
        <v>46640154</v>
      </c>
      <c r="Y94" s="886">
        <f t="shared" si="38"/>
        <v>30000000000</v>
      </c>
    </row>
    <row r="95" spans="1:25" ht="32.1" customHeight="1">
      <c r="A95" s="898">
        <v>1</v>
      </c>
      <c r="B95" s="865" t="s">
        <v>859</v>
      </c>
      <c r="C95" s="861" t="s">
        <v>857</v>
      </c>
      <c r="D95" s="870" t="s">
        <v>825</v>
      </c>
      <c r="E95" s="863">
        <v>7565746</v>
      </c>
      <c r="F95" s="862">
        <v>48764000000</v>
      </c>
      <c r="G95" s="862">
        <v>10000000000</v>
      </c>
      <c r="H95" s="862"/>
      <c r="I95" s="862"/>
      <c r="J95" s="862"/>
      <c r="K95" s="862"/>
      <c r="L95" s="862"/>
      <c r="M95" s="862"/>
      <c r="N95" s="862"/>
      <c r="O95" s="862"/>
      <c r="P95" s="862"/>
      <c r="Q95" s="862">
        <v>10000000000</v>
      </c>
      <c r="R95" s="862">
        <f t="shared" si="13"/>
        <v>10000000000</v>
      </c>
      <c r="S95" s="862">
        <v>9957188459</v>
      </c>
      <c r="T95" s="862">
        <v>42811541</v>
      </c>
      <c r="U95" s="862"/>
      <c r="V95" s="862"/>
      <c r="W95" s="862">
        <f t="shared" si="14"/>
        <v>9957188459</v>
      </c>
      <c r="X95" s="862">
        <f t="shared" si="15"/>
        <v>42811541</v>
      </c>
      <c r="Y95" s="862">
        <f t="shared" si="16"/>
        <v>20000000000</v>
      </c>
    </row>
    <row r="96" spans="1:25" ht="32.1" customHeight="1">
      <c r="A96" s="898">
        <v>2</v>
      </c>
      <c r="B96" s="865" t="s">
        <v>860</v>
      </c>
      <c r="C96" s="861" t="s">
        <v>857</v>
      </c>
      <c r="D96" s="870" t="s">
        <v>825</v>
      </c>
      <c r="E96" s="863">
        <v>7565739</v>
      </c>
      <c r="F96" s="862">
        <v>13840000000</v>
      </c>
      <c r="G96" s="862">
        <v>5000000000</v>
      </c>
      <c r="H96" s="862"/>
      <c r="I96" s="862"/>
      <c r="J96" s="862"/>
      <c r="K96" s="862"/>
      <c r="L96" s="862"/>
      <c r="M96" s="862"/>
      <c r="N96" s="862"/>
      <c r="O96" s="862"/>
      <c r="P96" s="862"/>
      <c r="Q96" s="862">
        <v>5000000000</v>
      </c>
      <c r="R96" s="862">
        <f t="shared" si="13"/>
        <v>5000000000</v>
      </c>
      <c r="S96" s="862">
        <v>4996171387</v>
      </c>
      <c r="T96" s="862">
        <v>3828613</v>
      </c>
      <c r="U96" s="862"/>
      <c r="V96" s="862"/>
      <c r="W96" s="862">
        <f t="shared" si="14"/>
        <v>4996171387</v>
      </c>
      <c r="X96" s="862">
        <f t="shared" si="15"/>
        <v>3828613</v>
      </c>
      <c r="Y96" s="862">
        <f t="shared" si="16"/>
        <v>10000000000</v>
      </c>
    </row>
    <row r="97" spans="1:25" ht="32.1" customHeight="1">
      <c r="A97" s="914" t="s">
        <v>402</v>
      </c>
      <c r="B97" s="915" t="s">
        <v>861</v>
      </c>
      <c r="C97" s="894"/>
      <c r="D97" s="870"/>
      <c r="E97" s="872"/>
      <c r="F97" s="884">
        <f>F98+F101</f>
        <v>68935000000</v>
      </c>
      <c r="G97" s="884">
        <f>G98+G101</f>
        <v>22643909000</v>
      </c>
      <c r="H97" s="884">
        <f t="shared" ref="H97:Y97" si="39">H98+H101</f>
        <v>0</v>
      </c>
      <c r="I97" s="884">
        <f t="shared" si="39"/>
        <v>0</v>
      </c>
      <c r="J97" s="884">
        <f t="shared" si="39"/>
        <v>0</v>
      </c>
      <c r="K97" s="884">
        <f t="shared" si="39"/>
        <v>0</v>
      </c>
      <c r="L97" s="884">
        <f t="shared" si="39"/>
        <v>0</v>
      </c>
      <c r="M97" s="884">
        <f t="shared" si="39"/>
        <v>0</v>
      </c>
      <c r="N97" s="884">
        <f t="shared" si="39"/>
        <v>0</v>
      </c>
      <c r="O97" s="884">
        <f t="shared" si="39"/>
        <v>0</v>
      </c>
      <c r="P97" s="884">
        <f t="shared" si="39"/>
        <v>0</v>
      </c>
      <c r="Q97" s="884">
        <f t="shared" si="39"/>
        <v>8536000000</v>
      </c>
      <c r="R97" s="884">
        <f t="shared" si="39"/>
        <v>6848986000</v>
      </c>
      <c r="S97" s="884">
        <f t="shared" si="39"/>
        <v>5290646000</v>
      </c>
      <c r="T97" s="884">
        <f t="shared" si="39"/>
        <v>1558340000</v>
      </c>
      <c r="U97" s="884">
        <f t="shared" si="39"/>
        <v>0</v>
      </c>
      <c r="V97" s="884">
        <f t="shared" si="39"/>
        <v>0</v>
      </c>
      <c r="W97" s="884">
        <f t="shared" si="39"/>
        <v>5290646000</v>
      </c>
      <c r="X97" s="884">
        <f t="shared" si="39"/>
        <v>1558340000</v>
      </c>
      <c r="Y97" s="884">
        <f t="shared" si="39"/>
        <v>29492895000</v>
      </c>
    </row>
    <row r="98" spans="1:25" ht="15" customHeight="1">
      <c r="A98" s="895"/>
      <c r="B98" s="896" t="s">
        <v>5</v>
      </c>
      <c r="C98" s="903"/>
      <c r="D98" s="870"/>
      <c r="E98" s="895"/>
      <c r="F98" s="886">
        <f>SUM(F99:F100)</f>
        <v>55994000000</v>
      </c>
      <c r="G98" s="886">
        <f>SUM(G99:G100)</f>
        <v>22643909000</v>
      </c>
      <c r="H98" s="886">
        <f t="shared" ref="H98:Y98" si="40">SUM(H99:H100)</f>
        <v>0</v>
      </c>
      <c r="I98" s="886">
        <f t="shared" si="40"/>
        <v>0</v>
      </c>
      <c r="J98" s="886">
        <f t="shared" si="40"/>
        <v>0</v>
      </c>
      <c r="K98" s="886">
        <f t="shared" si="40"/>
        <v>0</v>
      </c>
      <c r="L98" s="886">
        <f t="shared" si="40"/>
        <v>0</v>
      </c>
      <c r="M98" s="886">
        <f t="shared" si="40"/>
        <v>0</v>
      </c>
      <c r="N98" s="886">
        <f t="shared" si="40"/>
        <v>0</v>
      </c>
      <c r="O98" s="886">
        <f t="shared" si="40"/>
        <v>0</v>
      </c>
      <c r="P98" s="886">
        <f t="shared" si="40"/>
        <v>0</v>
      </c>
      <c r="Q98" s="886">
        <f t="shared" si="40"/>
        <v>5086000000</v>
      </c>
      <c r="R98" s="886">
        <f t="shared" si="40"/>
        <v>5065511000</v>
      </c>
      <c r="S98" s="886">
        <f t="shared" si="40"/>
        <v>5065511000</v>
      </c>
      <c r="T98" s="886">
        <f t="shared" si="40"/>
        <v>0</v>
      </c>
      <c r="U98" s="886">
        <f t="shared" si="40"/>
        <v>0</v>
      </c>
      <c r="V98" s="886">
        <f t="shared" si="40"/>
        <v>0</v>
      </c>
      <c r="W98" s="886">
        <f t="shared" si="40"/>
        <v>5065511000</v>
      </c>
      <c r="X98" s="886">
        <f t="shared" si="40"/>
        <v>0</v>
      </c>
      <c r="Y98" s="886">
        <f t="shared" si="40"/>
        <v>27709420000</v>
      </c>
    </row>
    <row r="99" spans="1:25" ht="32.1" customHeight="1">
      <c r="A99" s="898">
        <v>1</v>
      </c>
      <c r="B99" s="899" t="s">
        <v>21</v>
      </c>
      <c r="C99" s="900" t="s">
        <v>862</v>
      </c>
      <c r="D99" s="870" t="s">
        <v>825</v>
      </c>
      <c r="E99" s="898">
        <v>7472270</v>
      </c>
      <c r="F99" s="862">
        <v>29473000000</v>
      </c>
      <c r="G99" s="862">
        <v>17654000000</v>
      </c>
      <c r="H99" s="862"/>
      <c r="I99" s="862"/>
      <c r="J99" s="862"/>
      <c r="K99" s="862"/>
      <c r="L99" s="862"/>
      <c r="M99" s="862"/>
      <c r="N99" s="862"/>
      <c r="O99" s="862"/>
      <c r="P99" s="862"/>
      <c r="Q99" s="862">
        <v>86000000</v>
      </c>
      <c r="R99" s="862">
        <f t="shared" si="13"/>
        <v>85406000</v>
      </c>
      <c r="S99" s="862">
        <v>85406000</v>
      </c>
      <c r="T99" s="862"/>
      <c r="U99" s="862"/>
      <c r="V99" s="862"/>
      <c r="W99" s="862">
        <f t="shared" si="14"/>
        <v>85406000</v>
      </c>
      <c r="X99" s="862">
        <f t="shared" si="15"/>
        <v>0</v>
      </c>
      <c r="Y99" s="862">
        <f t="shared" si="16"/>
        <v>17739406000</v>
      </c>
    </row>
    <row r="100" spans="1:25" ht="32.1" customHeight="1">
      <c r="A100" s="898">
        <v>2</v>
      </c>
      <c r="B100" s="899" t="s">
        <v>23</v>
      </c>
      <c r="C100" s="900" t="s">
        <v>863</v>
      </c>
      <c r="D100" s="870" t="s">
        <v>825</v>
      </c>
      <c r="E100" s="898">
        <v>7579881</v>
      </c>
      <c r="F100" s="862">
        <v>26521000000</v>
      </c>
      <c r="G100" s="862">
        <v>4989909000</v>
      </c>
      <c r="H100" s="862"/>
      <c r="I100" s="862"/>
      <c r="J100" s="862"/>
      <c r="K100" s="862"/>
      <c r="L100" s="862"/>
      <c r="M100" s="862"/>
      <c r="N100" s="862"/>
      <c r="O100" s="862"/>
      <c r="P100" s="862"/>
      <c r="Q100" s="862">
        <v>5000000000</v>
      </c>
      <c r="R100" s="862">
        <f t="shared" si="13"/>
        <v>4980105000</v>
      </c>
      <c r="S100" s="862">
        <v>4980105000</v>
      </c>
      <c r="T100" s="862"/>
      <c r="U100" s="862"/>
      <c r="V100" s="862"/>
      <c r="W100" s="862">
        <f t="shared" si="14"/>
        <v>4980105000</v>
      </c>
      <c r="X100" s="862">
        <f t="shared" si="15"/>
        <v>0</v>
      </c>
      <c r="Y100" s="862">
        <f t="shared" si="16"/>
        <v>9970014000</v>
      </c>
    </row>
    <row r="101" spans="1:25" ht="15" customHeight="1">
      <c r="A101" s="895"/>
      <c r="B101" s="896" t="s">
        <v>564</v>
      </c>
      <c r="C101" s="903"/>
      <c r="D101" s="870"/>
      <c r="E101" s="895"/>
      <c r="F101" s="886">
        <f>SUM(F102)</f>
        <v>12941000000</v>
      </c>
      <c r="G101" s="886">
        <f>SUM(G102)</f>
        <v>0</v>
      </c>
      <c r="H101" s="886">
        <f t="shared" ref="H101:Y101" si="41">SUM(H102)</f>
        <v>0</v>
      </c>
      <c r="I101" s="886">
        <f t="shared" si="41"/>
        <v>0</v>
      </c>
      <c r="J101" s="886">
        <f t="shared" si="41"/>
        <v>0</v>
      </c>
      <c r="K101" s="886">
        <f t="shared" si="41"/>
        <v>0</v>
      </c>
      <c r="L101" s="886">
        <f t="shared" si="41"/>
        <v>0</v>
      </c>
      <c r="M101" s="886">
        <f t="shared" si="41"/>
        <v>0</v>
      </c>
      <c r="N101" s="886">
        <f t="shared" si="41"/>
        <v>0</v>
      </c>
      <c r="O101" s="886">
        <f t="shared" si="41"/>
        <v>0</v>
      </c>
      <c r="P101" s="886">
        <f t="shared" si="41"/>
        <v>0</v>
      </c>
      <c r="Q101" s="886">
        <f t="shared" si="41"/>
        <v>3450000000</v>
      </c>
      <c r="R101" s="886">
        <f t="shared" si="41"/>
        <v>1783475000</v>
      </c>
      <c r="S101" s="886">
        <f t="shared" si="41"/>
        <v>225135000</v>
      </c>
      <c r="T101" s="886">
        <f t="shared" si="41"/>
        <v>1558340000</v>
      </c>
      <c r="U101" s="886">
        <f t="shared" si="41"/>
        <v>0</v>
      </c>
      <c r="V101" s="886">
        <f t="shared" si="41"/>
        <v>0</v>
      </c>
      <c r="W101" s="886">
        <f t="shared" si="41"/>
        <v>225135000</v>
      </c>
      <c r="X101" s="886">
        <f t="shared" si="41"/>
        <v>1558340000</v>
      </c>
      <c r="Y101" s="886">
        <f t="shared" si="41"/>
        <v>1783475000</v>
      </c>
    </row>
    <row r="102" spans="1:25" ht="32.1" customHeight="1">
      <c r="A102" s="898">
        <v>1</v>
      </c>
      <c r="B102" s="899" t="s">
        <v>864</v>
      </c>
      <c r="C102" s="900" t="s">
        <v>865</v>
      </c>
      <c r="D102" s="870" t="s">
        <v>825</v>
      </c>
      <c r="E102" s="898">
        <v>7618363</v>
      </c>
      <c r="F102" s="862">
        <v>12941000000</v>
      </c>
      <c r="G102" s="862"/>
      <c r="H102" s="862"/>
      <c r="I102" s="862"/>
      <c r="J102" s="862"/>
      <c r="K102" s="862"/>
      <c r="L102" s="862"/>
      <c r="M102" s="862"/>
      <c r="N102" s="862"/>
      <c r="O102" s="862"/>
      <c r="P102" s="862"/>
      <c r="Q102" s="862">
        <v>3450000000</v>
      </c>
      <c r="R102" s="862">
        <f t="shared" si="13"/>
        <v>1783475000</v>
      </c>
      <c r="S102" s="862">
        <v>225135000</v>
      </c>
      <c r="T102" s="862">
        <v>1558340000</v>
      </c>
      <c r="U102" s="862"/>
      <c r="V102" s="862"/>
      <c r="W102" s="862">
        <f t="shared" si="14"/>
        <v>225135000</v>
      </c>
      <c r="X102" s="862">
        <f t="shared" si="15"/>
        <v>1558340000</v>
      </c>
      <c r="Y102" s="862">
        <f t="shared" si="16"/>
        <v>1783475000</v>
      </c>
    </row>
    <row r="103" spans="1:25" ht="24.95" customHeight="1">
      <c r="A103" s="912" t="s">
        <v>404</v>
      </c>
      <c r="B103" s="916" t="s">
        <v>24</v>
      </c>
      <c r="C103" s="917"/>
      <c r="D103" s="870"/>
      <c r="E103" s="912"/>
      <c r="F103" s="884">
        <f>F104</f>
        <v>6054000000</v>
      </c>
      <c r="G103" s="884">
        <f>G104</f>
        <v>1500000000</v>
      </c>
      <c r="H103" s="884">
        <f t="shared" ref="H103:Y104" si="42">H104</f>
        <v>0</v>
      </c>
      <c r="I103" s="884">
        <f t="shared" si="42"/>
        <v>0</v>
      </c>
      <c r="J103" s="884">
        <f t="shared" si="42"/>
        <v>0</v>
      </c>
      <c r="K103" s="884">
        <f t="shared" si="42"/>
        <v>0</v>
      </c>
      <c r="L103" s="884">
        <f t="shared" si="42"/>
        <v>0</v>
      </c>
      <c r="M103" s="884">
        <f t="shared" si="42"/>
        <v>0</v>
      </c>
      <c r="N103" s="884">
        <f t="shared" si="42"/>
        <v>0</v>
      </c>
      <c r="O103" s="884">
        <f t="shared" si="42"/>
        <v>0</v>
      </c>
      <c r="P103" s="884">
        <f t="shared" si="42"/>
        <v>0</v>
      </c>
      <c r="Q103" s="884">
        <f t="shared" si="42"/>
        <v>4000000000</v>
      </c>
      <c r="R103" s="884">
        <f t="shared" si="42"/>
        <v>4000000000</v>
      </c>
      <c r="S103" s="884">
        <f t="shared" si="42"/>
        <v>3989000000</v>
      </c>
      <c r="T103" s="884">
        <f t="shared" si="42"/>
        <v>11000000</v>
      </c>
      <c r="U103" s="884">
        <f t="shared" si="42"/>
        <v>0</v>
      </c>
      <c r="V103" s="884">
        <f t="shared" si="42"/>
        <v>0</v>
      </c>
      <c r="W103" s="884">
        <f t="shared" si="42"/>
        <v>3989000000</v>
      </c>
      <c r="X103" s="884">
        <f t="shared" si="42"/>
        <v>11000000</v>
      </c>
      <c r="Y103" s="884">
        <f t="shared" si="42"/>
        <v>5500000000</v>
      </c>
    </row>
    <row r="104" spans="1:25" ht="15" customHeight="1">
      <c r="A104" s="895"/>
      <c r="B104" s="896" t="s">
        <v>5</v>
      </c>
      <c r="C104" s="903"/>
      <c r="D104" s="870"/>
      <c r="E104" s="895"/>
      <c r="F104" s="886">
        <f>F105</f>
        <v>6054000000</v>
      </c>
      <c r="G104" s="886">
        <f>G105</f>
        <v>1500000000</v>
      </c>
      <c r="H104" s="886">
        <f t="shared" si="42"/>
        <v>0</v>
      </c>
      <c r="I104" s="886">
        <f t="shared" si="42"/>
        <v>0</v>
      </c>
      <c r="J104" s="886">
        <f t="shared" si="42"/>
        <v>0</v>
      </c>
      <c r="K104" s="886">
        <f t="shared" si="42"/>
        <v>0</v>
      </c>
      <c r="L104" s="886">
        <f t="shared" si="42"/>
        <v>0</v>
      </c>
      <c r="M104" s="886">
        <f t="shared" si="42"/>
        <v>0</v>
      </c>
      <c r="N104" s="886">
        <f t="shared" si="42"/>
        <v>0</v>
      </c>
      <c r="O104" s="886">
        <f t="shared" si="42"/>
        <v>0</v>
      </c>
      <c r="P104" s="886">
        <f t="shared" si="42"/>
        <v>0</v>
      </c>
      <c r="Q104" s="886">
        <f t="shared" si="42"/>
        <v>4000000000</v>
      </c>
      <c r="R104" s="886">
        <f t="shared" si="42"/>
        <v>4000000000</v>
      </c>
      <c r="S104" s="886">
        <f t="shared" si="42"/>
        <v>3989000000</v>
      </c>
      <c r="T104" s="886">
        <f t="shared" si="42"/>
        <v>11000000</v>
      </c>
      <c r="U104" s="886">
        <f t="shared" si="42"/>
        <v>0</v>
      </c>
      <c r="V104" s="886">
        <f t="shared" si="42"/>
        <v>0</v>
      </c>
      <c r="W104" s="886">
        <f t="shared" si="42"/>
        <v>3989000000</v>
      </c>
      <c r="X104" s="886">
        <f t="shared" si="42"/>
        <v>11000000</v>
      </c>
      <c r="Y104" s="886">
        <f t="shared" si="42"/>
        <v>5500000000</v>
      </c>
    </row>
    <row r="105" spans="1:25" ht="51.95" customHeight="1">
      <c r="A105" s="918">
        <v>1</v>
      </c>
      <c r="B105" s="899" t="s">
        <v>866</v>
      </c>
      <c r="C105" s="919" t="s">
        <v>867</v>
      </c>
      <c r="D105" s="870" t="s">
        <v>825</v>
      </c>
      <c r="E105" s="898">
        <v>7553319</v>
      </c>
      <c r="F105" s="862">
        <v>6054000000</v>
      </c>
      <c r="G105" s="862">
        <v>1500000000</v>
      </c>
      <c r="H105" s="862"/>
      <c r="I105" s="862"/>
      <c r="J105" s="862"/>
      <c r="K105" s="862"/>
      <c r="L105" s="862"/>
      <c r="M105" s="862"/>
      <c r="N105" s="862"/>
      <c r="O105" s="862"/>
      <c r="P105" s="862"/>
      <c r="Q105" s="862">
        <v>4000000000</v>
      </c>
      <c r="R105" s="862">
        <f t="shared" si="13"/>
        <v>4000000000</v>
      </c>
      <c r="S105" s="862">
        <v>3989000000</v>
      </c>
      <c r="T105" s="862">
        <v>11000000</v>
      </c>
      <c r="U105" s="862"/>
      <c r="V105" s="862"/>
      <c r="W105" s="862">
        <f t="shared" si="14"/>
        <v>3989000000</v>
      </c>
      <c r="X105" s="862">
        <f t="shared" si="15"/>
        <v>11000000</v>
      </c>
      <c r="Y105" s="862">
        <f t="shared" si="16"/>
        <v>5500000000</v>
      </c>
    </row>
    <row r="106" spans="1:25" ht="15" customHeight="1">
      <c r="A106" s="912" t="s">
        <v>406</v>
      </c>
      <c r="B106" s="893" t="s">
        <v>26</v>
      </c>
      <c r="C106" s="907"/>
      <c r="D106" s="870"/>
      <c r="E106" s="892"/>
      <c r="F106" s="884">
        <f>F107+F122</f>
        <v>752687005000</v>
      </c>
      <c r="G106" s="884">
        <f>G107+G122</f>
        <v>102665182789</v>
      </c>
      <c r="H106" s="884">
        <f t="shared" ref="H106:Y106" si="43">H107+H122</f>
        <v>0</v>
      </c>
      <c r="I106" s="884">
        <f t="shared" si="43"/>
        <v>0</v>
      </c>
      <c r="J106" s="884">
        <f t="shared" si="43"/>
        <v>0</v>
      </c>
      <c r="K106" s="884">
        <f t="shared" si="43"/>
        <v>0</v>
      </c>
      <c r="L106" s="884">
        <f t="shared" si="43"/>
        <v>0</v>
      </c>
      <c r="M106" s="884">
        <f t="shared" si="43"/>
        <v>0</v>
      </c>
      <c r="N106" s="884">
        <f t="shared" si="43"/>
        <v>0</v>
      </c>
      <c r="O106" s="884">
        <f t="shared" si="43"/>
        <v>0</v>
      </c>
      <c r="P106" s="884">
        <f t="shared" si="43"/>
        <v>0</v>
      </c>
      <c r="Q106" s="884">
        <f t="shared" si="43"/>
        <v>154068000000</v>
      </c>
      <c r="R106" s="884">
        <f t="shared" si="43"/>
        <v>153941248460</v>
      </c>
      <c r="S106" s="884">
        <f t="shared" si="43"/>
        <v>92282043200</v>
      </c>
      <c r="T106" s="884">
        <f t="shared" si="43"/>
        <v>61659205260</v>
      </c>
      <c r="U106" s="884">
        <f t="shared" si="43"/>
        <v>0</v>
      </c>
      <c r="V106" s="884">
        <f t="shared" si="43"/>
        <v>0</v>
      </c>
      <c r="W106" s="884">
        <f t="shared" si="43"/>
        <v>92282043200</v>
      </c>
      <c r="X106" s="884">
        <f t="shared" si="43"/>
        <v>61659205260</v>
      </c>
      <c r="Y106" s="884">
        <f t="shared" si="43"/>
        <v>256606431249</v>
      </c>
    </row>
    <row r="107" spans="1:25" ht="15" customHeight="1">
      <c r="A107" s="898"/>
      <c r="B107" s="896" t="s">
        <v>5</v>
      </c>
      <c r="C107" s="920"/>
      <c r="D107" s="870"/>
      <c r="E107" s="895"/>
      <c r="F107" s="886">
        <f>SUM(F108:F121)</f>
        <v>215812000000</v>
      </c>
      <c r="G107" s="886">
        <f>SUM(G108:G121)</f>
        <v>82913835000</v>
      </c>
      <c r="H107" s="886">
        <f t="shared" ref="H107:Y107" si="44">SUM(H108:H121)</f>
        <v>0</v>
      </c>
      <c r="I107" s="886">
        <f t="shared" si="44"/>
        <v>0</v>
      </c>
      <c r="J107" s="886">
        <f t="shared" si="44"/>
        <v>0</v>
      </c>
      <c r="K107" s="886">
        <f t="shared" si="44"/>
        <v>0</v>
      </c>
      <c r="L107" s="886">
        <f t="shared" si="44"/>
        <v>0</v>
      </c>
      <c r="M107" s="886">
        <f t="shared" si="44"/>
        <v>0</v>
      </c>
      <c r="N107" s="886">
        <f t="shared" si="44"/>
        <v>0</v>
      </c>
      <c r="O107" s="886">
        <f t="shared" si="44"/>
        <v>0</v>
      </c>
      <c r="P107" s="886">
        <f t="shared" si="44"/>
        <v>0</v>
      </c>
      <c r="Q107" s="886">
        <f t="shared" si="44"/>
        <v>53183000000</v>
      </c>
      <c r="R107" s="886">
        <f t="shared" si="44"/>
        <v>53062546200</v>
      </c>
      <c r="S107" s="886">
        <f t="shared" si="44"/>
        <v>52858664200</v>
      </c>
      <c r="T107" s="886">
        <f t="shared" si="44"/>
        <v>203882000</v>
      </c>
      <c r="U107" s="886">
        <f t="shared" si="44"/>
        <v>0</v>
      </c>
      <c r="V107" s="886">
        <f t="shared" si="44"/>
        <v>0</v>
      </c>
      <c r="W107" s="886">
        <f t="shared" si="44"/>
        <v>52858664200</v>
      </c>
      <c r="X107" s="886">
        <f t="shared" si="44"/>
        <v>203882000</v>
      </c>
      <c r="Y107" s="886">
        <f t="shared" si="44"/>
        <v>135976381200</v>
      </c>
    </row>
    <row r="108" spans="1:25" ht="24.95" customHeight="1">
      <c r="A108" s="898">
        <v>1</v>
      </c>
      <c r="B108" s="899" t="s">
        <v>1514</v>
      </c>
      <c r="C108" s="900" t="s">
        <v>835</v>
      </c>
      <c r="D108" s="870" t="s">
        <v>825</v>
      </c>
      <c r="E108" s="898">
        <v>7275486</v>
      </c>
      <c r="F108" s="862">
        <v>53569000000</v>
      </c>
      <c r="G108" s="862">
        <v>25262123000</v>
      </c>
      <c r="H108" s="862"/>
      <c r="I108" s="862"/>
      <c r="J108" s="862"/>
      <c r="K108" s="862"/>
      <c r="L108" s="862"/>
      <c r="M108" s="862"/>
      <c r="N108" s="862"/>
      <c r="O108" s="862"/>
      <c r="P108" s="862"/>
      <c r="Q108" s="862">
        <v>5767000000</v>
      </c>
      <c r="R108" s="862">
        <f t="shared" si="13"/>
        <v>5767000000</v>
      </c>
      <c r="S108" s="862">
        <v>5767000000</v>
      </c>
      <c r="T108" s="862"/>
      <c r="U108" s="862"/>
      <c r="V108" s="862"/>
      <c r="W108" s="862">
        <f t="shared" si="14"/>
        <v>5767000000</v>
      </c>
      <c r="X108" s="862">
        <f t="shared" si="15"/>
        <v>0</v>
      </c>
      <c r="Y108" s="862">
        <f t="shared" si="16"/>
        <v>31029123000</v>
      </c>
    </row>
    <row r="109" spans="1:25" ht="24.95" customHeight="1">
      <c r="A109" s="898">
        <v>2</v>
      </c>
      <c r="B109" s="899" t="s">
        <v>29</v>
      </c>
      <c r="C109" s="900" t="s">
        <v>847</v>
      </c>
      <c r="D109" s="870" t="s">
        <v>825</v>
      </c>
      <c r="E109" s="898">
        <v>7441270</v>
      </c>
      <c r="F109" s="862">
        <v>12861000000</v>
      </c>
      <c r="G109" s="862">
        <v>9800000000</v>
      </c>
      <c r="H109" s="862"/>
      <c r="I109" s="862"/>
      <c r="J109" s="862"/>
      <c r="K109" s="862"/>
      <c r="L109" s="862"/>
      <c r="M109" s="862"/>
      <c r="N109" s="862"/>
      <c r="O109" s="862"/>
      <c r="P109" s="862"/>
      <c r="Q109" s="862">
        <v>1850000000</v>
      </c>
      <c r="R109" s="862">
        <f t="shared" si="13"/>
        <v>1834200200</v>
      </c>
      <c r="S109" s="862">
        <v>1834200200</v>
      </c>
      <c r="T109" s="862"/>
      <c r="U109" s="862"/>
      <c r="V109" s="862"/>
      <c r="W109" s="862">
        <f t="shared" si="14"/>
        <v>1834200200</v>
      </c>
      <c r="X109" s="862">
        <f t="shared" si="15"/>
        <v>0</v>
      </c>
      <c r="Y109" s="862">
        <f t="shared" si="16"/>
        <v>11634200200</v>
      </c>
    </row>
    <row r="110" spans="1:25" ht="24.95" customHeight="1">
      <c r="A110" s="898">
        <v>3</v>
      </c>
      <c r="B110" s="899" t="s">
        <v>30</v>
      </c>
      <c r="C110" s="900" t="s">
        <v>868</v>
      </c>
      <c r="D110" s="870" t="s">
        <v>825</v>
      </c>
      <c r="E110" s="898">
        <v>7435891</v>
      </c>
      <c r="F110" s="862">
        <v>45365000000</v>
      </c>
      <c r="G110" s="862">
        <v>11823746000</v>
      </c>
      <c r="H110" s="862"/>
      <c r="I110" s="862"/>
      <c r="J110" s="862"/>
      <c r="K110" s="862"/>
      <c r="L110" s="862"/>
      <c r="M110" s="862"/>
      <c r="N110" s="862"/>
      <c r="O110" s="862"/>
      <c r="P110" s="862"/>
      <c r="Q110" s="862">
        <v>8000000000</v>
      </c>
      <c r="R110" s="862">
        <f t="shared" si="13"/>
        <v>8000000000</v>
      </c>
      <c r="S110" s="862">
        <v>8000000000</v>
      </c>
      <c r="T110" s="862"/>
      <c r="U110" s="862"/>
      <c r="V110" s="862"/>
      <c r="W110" s="862">
        <f t="shared" si="14"/>
        <v>8000000000</v>
      </c>
      <c r="X110" s="862">
        <f t="shared" si="15"/>
        <v>0</v>
      </c>
      <c r="Y110" s="862">
        <f t="shared" si="16"/>
        <v>19823746000</v>
      </c>
    </row>
    <row r="111" spans="1:25" ht="24.95" customHeight="1">
      <c r="A111" s="898">
        <v>4</v>
      </c>
      <c r="B111" s="899" t="s">
        <v>550</v>
      </c>
      <c r="C111" s="900" t="s">
        <v>868</v>
      </c>
      <c r="D111" s="870" t="s">
        <v>825</v>
      </c>
      <c r="E111" s="898">
        <v>7549880</v>
      </c>
      <c r="F111" s="862">
        <v>3844000000</v>
      </c>
      <c r="G111" s="862">
        <v>1500000000</v>
      </c>
      <c r="H111" s="862"/>
      <c r="I111" s="862"/>
      <c r="J111" s="862"/>
      <c r="K111" s="862"/>
      <c r="L111" s="862"/>
      <c r="M111" s="862"/>
      <c r="N111" s="862"/>
      <c r="O111" s="862"/>
      <c r="P111" s="862"/>
      <c r="Q111" s="862">
        <v>1786000000</v>
      </c>
      <c r="R111" s="862">
        <f t="shared" si="13"/>
        <v>1727328000</v>
      </c>
      <c r="S111" s="862">
        <v>1727328000</v>
      </c>
      <c r="T111" s="862"/>
      <c r="U111" s="862"/>
      <c r="V111" s="862"/>
      <c r="W111" s="862">
        <f t="shared" si="14"/>
        <v>1727328000</v>
      </c>
      <c r="X111" s="862">
        <f t="shared" si="15"/>
        <v>0</v>
      </c>
      <c r="Y111" s="862">
        <f t="shared" si="16"/>
        <v>3227328000</v>
      </c>
    </row>
    <row r="112" spans="1:25" ht="24.95" customHeight="1">
      <c r="A112" s="898">
        <v>5</v>
      </c>
      <c r="B112" s="899" t="s">
        <v>551</v>
      </c>
      <c r="C112" s="900" t="s">
        <v>869</v>
      </c>
      <c r="D112" s="870" t="s">
        <v>825</v>
      </c>
      <c r="E112" s="898">
        <v>7546552</v>
      </c>
      <c r="F112" s="862">
        <v>8734000000</v>
      </c>
      <c r="G112" s="862">
        <v>1818860000</v>
      </c>
      <c r="H112" s="862"/>
      <c r="I112" s="862"/>
      <c r="J112" s="862"/>
      <c r="K112" s="862"/>
      <c r="L112" s="862"/>
      <c r="M112" s="862"/>
      <c r="N112" s="862"/>
      <c r="O112" s="862"/>
      <c r="P112" s="862"/>
      <c r="Q112" s="862">
        <v>2500000000</v>
      </c>
      <c r="R112" s="862">
        <f t="shared" si="13"/>
        <v>2500000000</v>
      </c>
      <c r="S112" s="862">
        <v>2373480000</v>
      </c>
      <c r="T112" s="862">
        <v>126520000</v>
      </c>
      <c r="U112" s="862"/>
      <c r="V112" s="862"/>
      <c r="W112" s="862">
        <f t="shared" si="14"/>
        <v>2373480000</v>
      </c>
      <c r="X112" s="862">
        <f t="shared" si="15"/>
        <v>126520000</v>
      </c>
      <c r="Y112" s="862">
        <f t="shared" si="16"/>
        <v>4318860000</v>
      </c>
    </row>
    <row r="113" spans="1:25" ht="24.95" customHeight="1">
      <c r="A113" s="898">
        <v>6</v>
      </c>
      <c r="B113" s="899" t="s">
        <v>870</v>
      </c>
      <c r="C113" s="900" t="s">
        <v>869</v>
      </c>
      <c r="D113" s="870" t="s">
        <v>825</v>
      </c>
      <c r="E113" s="898">
        <v>7546549</v>
      </c>
      <c r="F113" s="862">
        <v>14958000000</v>
      </c>
      <c r="G113" s="862">
        <v>5476878000</v>
      </c>
      <c r="H113" s="862"/>
      <c r="I113" s="862"/>
      <c r="J113" s="862"/>
      <c r="K113" s="862"/>
      <c r="L113" s="862"/>
      <c r="M113" s="862"/>
      <c r="N113" s="862"/>
      <c r="O113" s="862"/>
      <c r="P113" s="862"/>
      <c r="Q113" s="862">
        <v>4000000000</v>
      </c>
      <c r="R113" s="862">
        <f t="shared" si="13"/>
        <v>4000000000</v>
      </c>
      <c r="S113" s="862">
        <v>4000000000</v>
      </c>
      <c r="T113" s="862"/>
      <c r="U113" s="862"/>
      <c r="V113" s="862"/>
      <c r="W113" s="862">
        <f t="shared" si="14"/>
        <v>4000000000</v>
      </c>
      <c r="X113" s="862">
        <f t="shared" si="15"/>
        <v>0</v>
      </c>
      <c r="Y113" s="862">
        <f t="shared" si="16"/>
        <v>9476878000</v>
      </c>
    </row>
    <row r="114" spans="1:25" ht="32.1" customHeight="1">
      <c r="A114" s="898">
        <v>7</v>
      </c>
      <c r="B114" s="899" t="s">
        <v>556</v>
      </c>
      <c r="C114" s="900" t="s">
        <v>840</v>
      </c>
      <c r="D114" s="870" t="s">
        <v>825</v>
      </c>
      <c r="E114" s="898">
        <v>7554947</v>
      </c>
      <c r="F114" s="862">
        <v>6079000000</v>
      </c>
      <c r="G114" s="862">
        <v>2000000000</v>
      </c>
      <c r="H114" s="862"/>
      <c r="I114" s="862"/>
      <c r="J114" s="862"/>
      <c r="K114" s="862"/>
      <c r="L114" s="862"/>
      <c r="M114" s="862"/>
      <c r="N114" s="862"/>
      <c r="O114" s="862"/>
      <c r="P114" s="862"/>
      <c r="Q114" s="862">
        <v>3960000000</v>
      </c>
      <c r="R114" s="862">
        <f t="shared" si="13"/>
        <v>3949346000</v>
      </c>
      <c r="S114" s="862">
        <v>3949346000</v>
      </c>
      <c r="T114" s="862"/>
      <c r="U114" s="862"/>
      <c r="V114" s="862"/>
      <c r="W114" s="862">
        <f t="shared" si="14"/>
        <v>3949346000</v>
      </c>
      <c r="X114" s="862">
        <f t="shared" si="15"/>
        <v>0</v>
      </c>
      <c r="Y114" s="862">
        <f t="shared" si="16"/>
        <v>5949346000</v>
      </c>
    </row>
    <row r="115" spans="1:25" ht="32.1" customHeight="1">
      <c r="A115" s="898">
        <v>8</v>
      </c>
      <c r="B115" s="899" t="s">
        <v>1515</v>
      </c>
      <c r="C115" s="900" t="s">
        <v>871</v>
      </c>
      <c r="D115" s="870" t="s">
        <v>825</v>
      </c>
      <c r="E115" s="898">
        <v>7540657</v>
      </c>
      <c r="F115" s="862">
        <v>8963000000</v>
      </c>
      <c r="G115" s="862">
        <v>1700000000</v>
      </c>
      <c r="H115" s="862"/>
      <c r="I115" s="862"/>
      <c r="J115" s="862"/>
      <c r="K115" s="862"/>
      <c r="L115" s="862"/>
      <c r="M115" s="862"/>
      <c r="N115" s="862"/>
      <c r="O115" s="862"/>
      <c r="P115" s="862"/>
      <c r="Q115" s="862">
        <v>2600000000</v>
      </c>
      <c r="R115" s="862">
        <f t="shared" si="13"/>
        <v>2600000000</v>
      </c>
      <c r="S115" s="862">
        <v>2522638000</v>
      </c>
      <c r="T115" s="862">
        <v>77362000</v>
      </c>
      <c r="U115" s="862"/>
      <c r="V115" s="862"/>
      <c r="W115" s="862">
        <f t="shared" si="14"/>
        <v>2522638000</v>
      </c>
      <c r="X115" s="862">
        <f t="shared" si="15"/>
        <v>77362000</v>
      </c>
      <c r="Y115" s="862">
        <f t="shared" si="16"/>
        <v>4300000000</v>
      </c>
    </row>
    <row r="116" spans="1:25" ht="24.95" customHeight="1">
      <c r="A116" s="898">
        <v>9</v>
      </c>
      <c r="B116" s="921" t="s">
        <v>872</v>
      </c>
      <c r="C116" s="900" t="s">
        <v>840</v>
      </c>
      <c r="D116" s="870" t="s">
        <v>825</v>
      </c>
      <c r="E116" s="922">
        <v>7536924</v>
      </c>
      <c r="F116" s="862">
        <v>2166000000</v>
      </c>
      <c r="G116" s="862"/>
      <c r="H116" s="862"/>
      <c r="I116" s="862"/>
      <c r="J116" s="862"/>
      <c r="K116" s="862"/>
      <c r="L116" s="862"/>
      <c r="M116" s="862"/>
      <c r="N116" s="862"/>
      <c r="O116" s="862"/>
      <c r="P116" s="862"/>
      <c r="Q116" s="862">
        <v>1900000000</v>
      </c>
      <c r="R116" s="862">
        <f t="shared" si="13"/>
        <v>1892574000</v>
      </c>
      <c r="S116" s="862">
        <v>1892574000</v>
      </c>
      <c r="T116" s="862"/>
      <c r="U116" s="862"/>
      <c r="V116" s="862"/>
      <c r="W116" s="862">
        <f t="shared" si="14"/>
        <v>1892574000</v>
      </c>
      <c r="X116" s="862">
        <f t="shared" si="15"/>
        <v>0</v>
      </c>
      <c r="Y116" s="862">
        <f t="shared" si="16"/>
        <v>1892574000</v>
      </c>
    </row>
    <row r="117" spans="1:25" ht="24.95" customHeight="1">
      <c r="A117" s="898">
        <v>10</v>
      </c>
      <c r="B117" s="921" t="s">
        <v>873</v>
      </c>
      <c r="C117" s="900" t="s">
        <v>840</v>
      </c>
      <c r="D117" s="870" t="s">
        <v>825</v>
      </c>
      <c r="E117" s="922">
        <v>7536922</v>
      </c>
      <c r="F117" s="862">
        <v>2425000000</v>
      </c>
      <c r="G117" s="862"/>
      <c r="H117" s="862"/>
      <c r="I117" s="862"/>
      <c r="J117" s="862"/>
      <c r="K117" s="862"/>
      <c r="L117" s="862"/>
      <c r="M117" s="862"/>
      <c r="N117" s="862"/>
      <c r="O117" s="862"/>
      <c r="P117" s="862"/>
      <c r="Q117" s="862">
        <v>2000000000</v>
      </c>
      <c r="R117" s="862">
        <f t="shared" si="13"/>
        <v>1998770000</v>
      </c>
      <c r="S117" s="862">
        <f>2000000000-1230000</f>
        <v>1998770000</v>
      </c>
      <c r="T117" s="862"/>
      <c r="U117" s="862"/>
      <c r="V117" s="862"/>
      <c r="W117" s="862">
        <f t="shared" si="14"/>
        <v>1998770000</v>
      </c>
      <c r="X117" s="862">
        <f t="shared" si="15"/>
        <v>0</v>
      </c>
      <c r="Y117" s="862">
        <f t="shared" si="16"/>
        <v>1998770000</v>
      </c>
    </row>
    <row r="118" spans="1:25" ht="24.95" customHeight="1">
      <c r="A118" s="898">
        <v>11</v>
      </c>
      <c r="B118" s="899" t="s">
        <v>874</v>
      </c>
      <c r="C118" s="900" t="s">
        <v>875</v>
      </c>
      <c r="D118" s="870" t="s">
        <v>825</v>
      </c>
      <c r="E118" s="898">
        <v>7545120</v>
      </c>
      <c r="F118" s="862">
        <v>4719000000</v>
      </c>
      <c r="G118" s="862">
        <v>1499718000</v>
      </c>
      <c r="H118" s="862"/>
      <c r="I118" s="862"/>
      <c r="J118" s="862"/>
      <c r="K118" s="862"/>
      <c r="L118" s="862"/>
      <c r="M118" s="862"/>
      <c r="N118" s="862"/>
      <c r="O118" s="862"/>
      <c r="P118" s="862"/>
      <c r="Q118" s="862">
        <v>3020000000</v>
      </c>
      <c r="R118" s="862">
        <f t="shared" si="13"/>
        <v>3020000000</v>
      </c>
      <c r="S118" s="862">
        <v>3020000000</v>
      </c>
      <c r="T118" s="862"/>
      <c r="U118" s="862"/>
      <c r="V118" s="862"/>
      <c r="W118" s="862">
        <f t="shared" si="14"/>
        <v>3020000000</v>
      </c>
      <c r="X118" s="862">
        <f t="shared" si="15"/>
        <v>0</v>
      </c>
      <c r="Y118" s="862">
        <f t="shared" si="16"/>
        <v>4519718000</v>
      </c>
    </row>
    <row r="119" spans="1:25" ht="24.95" customHeight="1">
      <c r="A119" s="898">
        <v>12</v>
      </c>
      <c r="B119" s="899" t="s">
        <v>554</v>
      </c>
      <c r="C119" s="900" t="s">
        <v>875</v>
      </c>
      <c r="D119" s="870" t="s">
        <v>825</v>
      </c>
      <c r="E119" s="898">
        <v>7543140</v>
      </c>
      <c r="F119" s="862">
        <v>8368000000</v>
      </c>
      <c r="G119" s="862">
        <v>1500000000</v>
      </c>
      <c r="H119" s="862"/>
      <c r="I119" s="862"/>
      <c r="J119" s="862"/>
      <c r="K119" s="862"/>
      <c r="L119" s="862"/>
      <c r="M119" s="862"/>
      <c r="N119" s="862"/>
      <c r="O119" s="862"/>
      <c r="P119" s="862"/>
      <c r="Q119" s="862">
        <v>5090000000</v>
      </c>
      <c r="R119" s="862">
        <f t="shared" si="13"/>
        <v>5090000000</v>
      </c>
      <c r="S119" s="862">
        <v>5090000000</v>
      </c>
      <c r="T119" s="862"/>
      <c r="U119" s="862"/>
      <c r="V119" s="862"/>
      <c r="W119" s="862">
        <f t="shared" ref="W119:W182" si="45">J119+M119+S119</f>
        <v>5090000000</v>
      </c>
      <c r="X119" s="862">
        <f t="shared" ref="X119:X182" si="46">H119-I119-J119+N119+T119</f>
        <v>0</v>
      </c>
      <c r="Y119" s="862">
        <f t="shared" ref="Y119:Y182" si="47">G119+L119+R119</f>
        <v>6590000000</v>
      </c>
    </row>
    <row r="120" spans="1:25" ht="24.95" customHeight="1">
      <c r="A120" s="898">
        <v>13</v>
      </c>
      <c r="B120" s="899" t="s">
        <v>555</v>
      </c>
      <c r="C120" s="900" t="s">
        <v>875</v>
      </c>
      <c r="D120" s="870" t="s">
        <v>825</v>
      </c>
      <c r="E120" s="898">
        <v>7543134</v>
      </c>
      <c r="F120" s="862">
        <v>3879000000</v>
      </c>
      <c r="G120" s="862">
        <v>1000000000</v>
      </c>
      <c r="H120" s="862"/>
      <c r="I120" s="862"/>
      <c r="J120" s="862"/>
      <c r="K120" s="862"/>
      <c r="L120" s="862"/>
      <c r="M120" s="862"/>
      <c r="N120" s="862"/>
      <c r="O120" s="862"/>
      <c r="P120" s="862"/>
      <c r="Q120" s="862">
        <v>2710000000</v>
      </c>
      <c r="R120" s="862">
        <f t="shared" si="13"/>
        <v>2683328000</v>
      </c>
      <c r="S120" s="862">
        <v>2683328000</v>
      </c>
      <c r="T120" s="862"/>
      <c r="U120" s="862"/>
      <c r="V120" s="862"/>
      <c r="W120" s="862">
        <f t="shared" si="45"/>
        <v>2683328000</v>
      </c>
      <c r="X120" s="862">
        <f t="shared" si="46"/>
        <v>0</v>
      </c>
      <c r="Y120" s="862">
        <f t="shared" si="47"/>
        <v>3683328000</v>
      </c>
    </row>
    <row r="121" spans="1:25" ht="24.95" customHeight="1">
      <c r="A121" s="898">
        <v>14</v>
      </c>
      <c r="B121" s="899" t="s">
        <v>31</v>
      </c>
      <c r="C121" s="900" t="s">
        <v>840</v>
      </c>
      <c r="D121" s="870" t="s">
        <v>825</v>
      </c>
      <c r="E121" s="898">
        <v>7463318</v>
      </c>
      <c r="F121" s="862">
        <v>39882000000</v>
      </c>
      <c r="G121" s="862">
        <v>19532510000</v>
      </c>
      <c r="H121" s="862"/>
      <c r="I121" s="862"/>
      <c r="J121" s="862"/>
      <c r="K121" s="862"/>
      <c r="L121" s="862"/>
      <c r="M121" s="862"/>
      <c r="N121" s="862"/>
      <c r="O121" s="862"/>
      <c r="P121" s="862"/>
      <c r="Q121" s="862">
        <v>8000000000</v>
      </c>
      <c r="R121" s="862">
        <f t="shared" ref="R121:R182" si="48">SUM(S121:T121)</f>
        <v>8000000000</v>
      </c>
      <c r="S121" s="862">
        <v>8000000000</v>
      </c>
      <c r="T121" s="862"/>
      <c r="U121" s="862"/>
      <c r="V121" s="862"/>
      <c r="W121" s="862">
        <f t="shared" si="45"/>
        <v>8000000000</v>
      </c>
      <c r="X121" s="862">
        <f t="shared" si="46"/>
        <v>0</v>
      </c>
      <c r="Y121" s="862">
        <f t="shared" si="47"/>
        <v>27532510000</v>
      </c>
    </row>
    <row r="122" spans="1:25" ht="15" customHeight="1">
      <c r="A122" s="898"/>
      <c r="B122" s="902" t="s">
        <v>876</v>
      </c>
      <c r="C122" s="900"/>
      <c r="D122" s="870"/>
      <c r="E122" s="901"/>
      <c r="F122" s="886">
        <f>SUM(F123:F133)</f>
        <v>536875005000</v>
      </c>
      <c r="G122" s="886">
        <f>SUM(G123:G133)</f>
        <v>19751347789</v>
      </c>
      <c r="H122" s="886">
        <f t="shared" ref="H122:Y122" si="49">SUM(H123:H133)</f>
        <v>0</v>
      </c>
      <c r="I122" s="886">
        <f t="shared" si="49"/>
        <v>0</v>
      </c>
      <c r="J122" s="886">
        <f t="shared" si="49"/>
        <v>0</v>
      </c>
      <c r="K122" s="886">
        <f t="shared" si="49"/>
        <v>0</v>
      </c>
      <c r="L122" s="886">
        <f t="shared" si="49"/>
        <v>0</v>
      </c>
      <c r="M122" s="886">
        <f t="shared" si="49"/>
        <v>0</v>
      </c>
      <c r="N122" s="886">
        <f t="shared" si="49"/>
        <v>0</v>
      </c>
      <c r="O122" s="886">
        <f t="shared" si="49"/>
        <v>0</v>
      </c>
      <c r="P122" s="886">
        <f t="shared" si="49"/>
        <v>0</v>
      </c>
      <c r="Q122" s="886">
        <f t="shared" si="49"/>
        <v>100885000000</v>
      </c>
      <c r="R122" s="886">
        <f t="shared" si="49"/>
        <v>100878702260</v>
      </c>
      <c r="S122" s="886">
        <f t="shared" si="49"/>
        <v>39423379000</v>
      </c>
      <c r="T122" s="886">
        <f t="shared" si="49"/>
        <v>61455323260</v>
      </c>
      <c r="U122" s="886">
        <f t="shared" si="49"/>
        <v>0</v>
      </c>
      <c r="V122" s="886">
        <f t="shared" si="49"/>
        <v>0</v>
      </c>
      <c r="W122" s="886">
        <f t="shared" si="49"/>
        <v>39423379000</v>
      </c>
      <c r="X122" s="886">
        <f t="shared" si="49"/>
        <v>61455323260</v>
      </c>
      <c r="Y122" s="886">
        <f t="shared" si="49"/>
        <v>120630050049</v>
      </c>
    </row>
    <row r="123" spans="1:25" ht="24.95" customHeight="1">
      <c r="A123" s="898">
        <v>1</v>
      </c>
      <c r="B123" s="899" t="s">
        <v>877</v>
      </c>
      <c r="C123" s="900" t="s">
        <v>840</v>
      </c>
      <c r="D123" s="870" t="s">
        <v>825</v>
      </c>
      <c r="E123" s="898">
        <v>7580170</v>
      </c>
      <c r="F123" s="862">
        <v>432227000000</v>
      </c>
      <c r="G123" s="862"/>
      <c r="H123" s="862"/>
      <c r="I123" s="862"/>
      <c r="J123" s="862"/>
      <c r="K123" s="862"/>
      <c r="L123" s="862"/>
      <c r="M123" s="862"/>
      <c r="N123" s="862"/>
      <c r="O123" s="862"/>
      <c r="P123" s="862"/>
      <c r="Q123" s="862">
        <v>70000000000</v>
      </c>
      <c r="R123" s="862">
        <f t="shared" si="48"/>
        <v>70000000000</v>
      </c>
      <c r="S123" s="862">
        <v>14670000000</v>
      </c>
      <c r="T123" s="862">
        <v>55330000000</v>
      </c>
      <c r="U123" s="862"/>
      <c r="V123" s="862"/>
      <c r="W123" s="862">
        <f t="shared" si="45"/>
        <v>14670000000</v>
      </c>
      <c r="X123" s="862">
        <f t="shared" si="46"/>
        <v>55330000000</v>
      </c>
      <c r="Y123" s="862">
        <f t="shared" si="47"/>
        <v>70000000000</v>
      </c>
    </row>
    <row r="124" spans="1:25" ht="32.1" customHeight="1">
      <c r="A124" s="898">
        <v>2</v>
      </c>
      <c r="B124" s="899" t="s">
        <v>878</v>
      </c>
      <c r="C124" s="900" t="s">
        <v>840</v>
      </c>
      <c r="D124" s="870" t="s">
        <v>825</v>
      </c>
      <c r="E124" s="898">
        <v>7567508</v>
      </c>
      <c r="F124" s="862">
        <v>6860005000</v>
      </c>
      <c r="G124" s="862"/>
      <c r="H124" s="862"/>
      <c r="I124" s="862"/>
      <c r="J124" s="862"/>
      <c r="K124" s="862"/>
      <c r="L124" s="862"/>
      <c r="M124" s="862"/>
      <c r="N124" s="862"/>
      <c r="O124" s="862"/>
      <c r="P124" s="862"/>
      <c r="Q124" s="862">
        <v>3000000000</v>
      </c>
      <c r="R124" s="862">
        <f t="shared" si="48"/>
        <v>2999999260</v>
      </c>
      <c r="S124" s="862">
        <v>1061878000</v>
      </c>
      <c r="T124" s="862">
        <v>1938121260</v>
      </c>
      <c r="U124" s="862"/>
      <c r="V124" s="862"/>
      <c r="W124" s="862">
        <f t="shared" si="45"/>
        <v>1061878000</v>
      </c>
      <c r="X124" s="862">
        <f t="shared" si="46"/>
        <v>1938121260</v>
      </c>
      <c r="Y124" s="862">
        <f t="shared" si="47"/>
        <v>2999999260</v>
      </c>
    </row>
    <row r="125" spans="1:25" ht="24.95" customHeight="1">
      <c r="A125" s="898">
        <v>3</v>
      </c>
      <c r="B125" s="899" t="s">
        <v>879</v>
      </c>
      <c r="C125" s="900" t="s">
        <v>840</v>
      </c>
      <c r="D125" s="870" t="s">
        <v>825</v>
      </c>
      <c r="E125" s="898">
        <v>7562656</v>
      </c>
      <c r="F125" s="862">
        <v>13650000000</v>
      </c>
      <c r="G125" s="862"/>
      <c r="H125" s="862"/>
      <c r="I125" s="862"/>
      <c r="J125" s="862"/>
      <c r="K125" s="862"/>
      <c r="L125" s="862"/>
      <c r="M125" s="862"/>
      <c r="N125" s="862"/>
      <c r="O125" s="862"/>
      <c r="P125" s="862"/>
      <c r="Q125" s="862">
        <v>4020000000</v>
      </c>
      <c r="R125" s="862">
        <f t="shared" si="48"/>
        <v>4020000000</v>
      </c>
      <c r="S125" s="862">
        <v>2032871000</v>
      </c>
      <c r="T125" s="862">
        <v>1987129000</v>
      </c>
      <c r="U125" s="862"/>
      <c r="V125" s="862"/>
      <c r="W125" s="862">
        <f t="shared" si="45"/>
        <v>2032871000</v>
      </c>
      <c r="X125" s="862">
        <f t="shared" si="46"/>
        <v>1987129000</v>
      </c>
      <c r="Y125" s="862">
        <f t="shared" si="47"/>
        <v>4020000000</v>
      </c>
    </row>
    <row r="126" spans="1:25" ht="24.95" customHeight="1">
      <c r="A126" s="898">
        <v>4</v>
      </c>
      <c r="B126" s="899" t="s">
        <v>880</v>
      </c>
      <c r="C126" s="900" t="s">
        <v>835</v>
      </c>
      <c r="D126" s="870" t="s">
        <v>825</v>
      </c>
      <c r="E126" s="898">
        <v>7563784</v>
      </c>
      <c r="F126" s="862">
        <v>14480000000</v>
      </c>
      <c r="G126" s="862"/>
      <c r="H126" s="862"/>
      <c r="I126" s="862"/>
      <c r="J126" s="862"/>
      <c r="K126" s="862"/>
      <c r="L126" s="862"/>
      <c r="M126" s="862"/>
      <c r="N126" s="862"/>
      <c r="O126" s="862"/>
      <c r="P126" s="862"/>
      <c r="Q126" s="862">
        <v>4000000000</v>
      </c>
      <c r="R126" s="862">
        <f t="shared" si="48"/>
        <v>4000000000</v>
      </c>
      <c r="S126" s="862">
        <v>3747522000</v>
      </c>
      <c r="T126" s="862">
        <v>252478000</v>
      </c>
      <c r="U126" s="862"/>
      <c r="V126" s="862"/>
      <c r="W126" s="862">
        <f t="shared" si="45"/>
        <v>3747522000</v>
      </c>
      <c r="X126" s="862">
        <f t="shared" si="46"/>
        <v>252478000</v>
      </c>
      <c r="Y126" s="862">
        <f t="shared" si="47"/>
        <v>4000000000</v>
      </c>
    </row>
    <row r="127" spans="1:25" ht="24.95" customHeight="1">
      <c r="A127" s="898">
        <v>5</v>
      </c>
      <c r="B127" s="899" t="s">
        <v>881</v>
      </c>
      <c r="C127" s="900" t="s">
        <v>882</v>
      </c>
      <c r="D127" s="870" t="s">
        <v>825</v>
      </c>
      <c r="E127" s="898">
        <v>7605693</v>
      </c>
      <c r="F127" s="862">
        <v>12510000000</v>
      </c>
      <c r="G127" s="862"/>
      <c r="H127" s="862"/>
      <c r="I127" s="862"/>
      <c r="J127" s="862"/>
      <c r="K127" s="862"/>
      <c r="L127" s="862"/>
      <c r="M127" s="862"/>
      <c r="N127" s="862"/>
      <c r="O127" s="862"/>
      <c r="P127" s="862"/>
      <c r="Q127" s="862">
        <v>4000000000</v>
      </c>
      <c r="R127" s="862">
        <f t="shared" si="48"/>
        <v>4000000000</v>
      </c>
      <c r="S127" s="862">
        <v>2274056000</v>
      </c>
      <c r="T127" s="862">
        <v>1725944000</v>
      </c>
      <c r="U127" s="862"/>
      <c r="V127" s="862"/>
      <c r="W127" s="862">
        <f t="shared" si="45"/>
        <v>2274056000</v>
      </c>
      <c r="X127" s="862">
        <f t="shared" si="46"/>
        <v>1725944000</v>
      </c>
      <c r="Y127" s="862">
        <f t="shared" si="47"/>
        <v>4000000000</v>
      </c>
    </row>
    <row r="128" spans="1:25" ht="24.95" customHeight="1">
      <c r="A128" s="898">
        <v>6</v>
      </c>
      <c r="B128" s="899" t="s">
        <v>1516</v>
      </c>
      <c r="C128" s="900" t="s">
        <v>883</v>
      </c>
      <c r="D128" s="870" t="s">
        <v>825</v>
      </c>
      <c r="E128" s="898">
        <v>7532276</v>
      </c>
      <c r="F128" s="862">
        <v>5304000000</v>
      </c>
      <c r="G128" s="862"/>
      <c r="H128" s="862"/>
      <c r="I128" s="862"/>
      <c r="J128" s="862"/>
      <c r="K128" s="862"/>
      <c r="L128" s="862"/>
      <c r="M128" s="862"/>
      <c r="N128" s="862"/>
      <c r="O128" s="862"/>
      <c r="P128" s="862"/>
      <c r="Q128" s="862">
        <v>4500000000</v>
      </c>
      <c r="R128" s="862">
        <f t="shared" si="48"/>
        <v>4500000000</v>
      </c>
      <c r="S128" s="862">
        <v>4500000000</v>
      </c>
      <c r="T128" s="862"/>
      <c r="U128" s="862"/>
      <c r="V128" s="862"/>
      <c r="W128" s="862">
        <f t="shared" si="45"/>
        <v>4500000000</v>
      </c>
      <c r="X128" s="862">
        <f t="shared" si="46"/>
        <v>0</v>
      </c>
      <c r="Y128" s="862">
        <f t="shared" si="47"/>
        <v>4500000000</v>
      </c>
    </row>
    <row r="129" spans="1:25" ht="24.95" customHeight="1">
      <c r="A129" s="898">
        <v>7</v>
      </c>
      <c r="B129" s="899" t="s">
        <v>884</v>
      </c>
      <c r="C129" s="900" t="s">
        <v>868</v>
      </c>
      <c r="D129" s="870" t="s">
        <v>825</v>
      </c>
      <c r="E129" s="898">
        <v>7610808</v>
      </c>
      <c r="F129" s="862">
        <v>14637000000</v>
      </c>
      <c r="G129" s="862"/>
      <c r="H129" s="862"/>
      <c r="I129" s="862"/>
      <c r="J129" s="862"/>
      <c r="K129" s="862"/>
      <c r="L129" s="862"/>
      <c r="M129" s="862"/>
      <c r="N129" s="862"/>
      <c r="O129" s="862"/>
      <c r="P129" s="862"/>
      <c r="Q129" s="862">
        <v>4000000000</v>
      </c>
      <c r="R129" s="862">
        <f t="shared" si="48"/>
        <v>4000000000</v>
      </c>
      <c r="S129" s="862">
        <v>3875000000</v>
      </c>
      <c r="T129" s="862">
        <v>125000000</v>
      </c>
      <c r="U129" s="862"/>
      <c r="V129" s="862"/>
      <c r="W129" s="862">
        <f t="shared" si="45"/>
        <v>3875000000</v>
      </c>
      <c r="X129" s="862">
        <f t="shared" si="46"/>
        <v>125000000</v>
      </c>
      <c r="Y129" s="862">
        <f t="shared" si="47"/>
        <v>4000000000</v>
      </c>
    </row>
    <row r="130" spans="1:25" ht="24.95" customHeight="1">
      <c r="A130" s="898">
        <v>8</v>
      </c>
      <c r="B130" s="899" t="s">
        <v>885</v>
      </c>
      <c r="C130" s="900" t="s">
        <v>848</v>
      </c>
      <c r="D130" s="870" t="s">
        <v>825</v>
      </c>
      <c r="E130" s="898">
        <v>7555448</v>
      </c>
      <c r="F130" s="862">
        <v>5180000000</v>
      </c>
      <c r="G130" s="862">
        <v>1000000000</v>
      </c>
      <c r="H130" s="862"/>
      <c r="I130" s="862"/>
      <c r="J130" s="862"/>
      <c r="K130" s="862"/>
      <c r="L130" s="862"/>
      <c r="M130" s="862"/>
      <c r="N130" s="862"/>
      <c r="O130" s="862"/>
      <c r="P130" s="862"/>
      <c r="Q130" s="862">
        <v>2500000000</v>
      </c>
      <c r="R130" s="862">
        <f t="shared" si="48"/>
        <v>2500000000</v>
      </c>
      <c r="S130" s="862">
        <v>2500000000</v>
      </c>
      <c r="T130" s="862"/>
      <c r="U130" s="862"/>
      <c r="V130" s="862"/>
      <c r="W130" s="862">
        <f t="shared" si="45"/>
        <v>2500000000</v>
      </c>
      <c r="X130" s="862">
        <f t="shared" si="46"/>
        <v>0</v>
      </c>
      <c r="Y130" s="862">
        <f t="shared" si="47"/>
        <v>3500000000</v>
      </c>
    </row>
    <row r="131" spans="1:25" ht="32.1" customHeight="1">
      <c r="A131" s="898">
        <v>9</v>
      </c>
      <c r="B131" s="899" t="s">
        <v>886</v>
      </c>
      <c r="C131" s="900" t="s">
        <v>835</v>
      </c>
      <c r="D131" s="870" t="s">
        <v>825</v>
      </c>
      <c r="E131" s="898">
        <v>7607692</v>
      </c>
      <c r="F131" s="862">
        <v>4197000000</v>
      </c>
      <c r="G131" s="862"/>
      <c r="H131" s="862"/>
      <c r="I131" s="862"/>
      <c r="J131" s="862"/>
      <c r="K131" s="862"/>
      <c r="L131" s="862"/>
      <c r="M131" s="862"/>
      <c r="N131" s="862"/>
      <c r="O131" s="862"/>
      <c r="P131" s="862"/>
      <c r="Q131" s="862">
        <v>2000000000</v>
      </c>
      <c r="R131" s="862">
        <f t="shared" si="48"/>
        <v>2000000000</v>
      </c>
      <c r="S131" s="862">
        <v>1903349000</v>
      </c>
      <c r="T131" s="862">
        <v>96651000</v>
      </c>
      <c r="U131" s="862"/>
      <c r="V131" s="862"/>
      <c r="W131" s="862">
        <f t="shared" si="45"/>
        <v>1903349000</v>
      </c>
      <c r="X131" s="862">
        <f t="shared" si="46"/>
        <v>96651000</v>
      </c>
      <c r="Y131" s="862">
        <f t="shared" si="47"/>
        <v>2000000000</v>
      </c>
    </row>
    <row r="132" spans="1:25" ht="24.95" customHeight="1">
      <c r="A132" s="898">
        <v>10</v>
      </c>
      <c r="B132" s="921" t="s">
        <v>887</v>
      </c>
      <c r="C132" s="900" t="s">
        <v>847</v>
      </c>
      <c r="D132" s="870" t="s">
        <v>825</v>
      </c>
      <c r="E132" s="922">
        <v>7608083</v>
      </c>
      <c r="F132" s="862">
        <v>2861000000</v>
      </c>
      <c r="G132" s="862"/>
      <c r="H132" s="862"/>
      <c r="I132" s="862"/>
      <c r="J132" s="862"/>
      <c r="K132" s="862"/>
      <c r="L132" s="862"/>
      <c r="M132" s="862"/>
      <c r="N132" s="862"/>
      <c r="O132" s="862"/>
      <c r="P132" s="862"/>
      <c r="Q132" s="862">
        <v>2765000000</v>
      </c>
      <c r="R132" s="862">
        <f t="shared" si="48"/>
        <v>2758703000</v>
      </c>
      <c r="S132" s="862">
        <v>2758703000</v>
      </c>
      <c r="T132" s="862"/>
      <c r="U132" s="862"/>
      <c r="V132" s="862"/>
      <c r="W132" s="862">
        <f t="shared" si="45"/>
        <v>2758703000</v>
      </c>
      <c r="X132" s="862">
        <f t="shared" si="46"/>
        <v>0</v>
      </c>
      <c r="Y132" s="862">
        <f t="shared" si="47"/>
        <v>2758703000</v>
      </c>
    </row>
    <row r="133" spans="1:25" ht="42" customHeight="1">
      <c r="A133" s="898">
        <v>11</v>
      </c>
      <c r="B133" s="921" t="s">
        <v>888</v>
      </c>
      <c r="C133" s="900" t="s">
        <v>889</v>
      </c>
      <c r="D133" s="870" t="s">
        <v>825</v>
      </c>
      <c r="E133" s="922">
        <v>7200735</v>
      </c>
      <c r="F133" s="862">
        <v>24969000000</v>
      </c>
      <c r="G133" s="862">
        <v>18751347789</v>
      </c>
      <c r="H133" s="862"/>
      <c r="I133" s="862"/>
      <c r="J133" s="862"/>
      <c r="K133" s="862"/>
      <c r="L133" s="862"/>
      <c r="M133" s="862"/>
      <c r="N133" s="862"/>
      <c r="O133" s="862"/>
      <c r="P133" s="862"/>
      <c r="Q133" s="862">
        <v>100000000</v>
      </c>
      <c r="R133" s="862">
        <f t="shared" si="48"/>
        <v>100000000</v>
      </c>
      <c r="S133" s="862">
        <v>100000000</v>
      </c>
      <c r="T133" s="862"/>
      <c r="U133" s="862"/>
      <c r="V133" s="862"/>
      <c r="W133" s="862">
        <f t="shared" si="45"/>
        <v>100000000</v>
      </c>
      <c r="X133" s="862">
        <f t="shared" si="46"/>
        <v>0</v>
      </c>
      <c r="Y133" s="862">
        <f t="shared" si="47"/>
        <v>18851347789</v>
      </c>
    </row>
    <row r="134" spans="1:25" ht="15" customHeight="1">
      <c r="A134" s="912" t="s">
        <v>478</v>
      </c>
      <c r="B134" s="916" t="s">
        <v>32</v>
      </c>
      <c r="C134" s="907"/>
      <c r="D134" s="870"/>
      <c r="E134" s="912"/>
      <c r="F134" s="884">
        <f>F135+F139+F145</f>
        <v>34701817000</v>
      </c>
      <c r="G134" s="884">
        <f>G135+G139+G145</f>
        <v>0</v>
      </c>
      <c r="H134" s="884">
        <f t="shared" ref="H134:Y134" si="50">H135+H139+H145</f>
        <v>0</v>
      </c>
      <c r="I134" s="884">
        <f t="shared" si="50"/>
        <v>0</v>
      </c>
      <c r="J134" s="884">
        <f t="shared" si="50"/>
        <v>0</v>
      </c>
      <c r="K134" s="884">
        <f t="shared" si="50"/>
        <v>0</v>
      </c>
      <c r="L134" s="884">
        <f t="shared" si="50"/>
        <v>0</v>
      </c>
      <c r="M134" s="884">
        <f t="shared" si="50"/>
        <v>0</v>
      </c>
      <c r="N134" s="884">
        <f t="shared" si="50"/>
        <v>0</v>
      </c>
      <c r="O134" s="884">
        <f t="shared" si="50"/>
        <v>0</v>
      </c>
      <c r="P134" s="884">
        <f t="shared" si="50"/>
        <v>0</v>
      </c>
      <c r="Q134" s="884">
        <f t="shared" si="50"/>
        <v>57717000000</v>
      </c>
      <c r="R134" s="884">
        <f t="shared" si="50"/>
        <v>57662715890</v>
      </c>
      <c r="S134" s="884">
        <f t="shared" si="50"/>
        <v>57445918890</v>
      </c>
      <c r="T134" s="884">
        <f t="shared" si="50"/>
        <v>216797000</v>
      </c>
      <c r="U134" s="884">
        <f t="shared" si="50"/>
        <v>0</v>
      </c>
      <c r="V134" s="884">
        <f t="shared" si="50"/>
        <v>53463000</v>
      </c>
      <c r="W134" s="884">
        <f t="shared" si="50"/>
        <v>57445918890</v>
      </c>
      <c r="X134" s="884">
        <f t="shared" si="50"/>
        <v>216797000</v>
      </c>
      <c r="Y134" s="884">
        <f t="shared" si="50"/>
        <v>100082447245</v>
      </c>
    </row>
    <row r="135" spans="1:25" ht="24.95" customHeight="1">
      <c r="A135" s="898">
        <v>1</v>
      </c>
      <c r="B135" s="909" t="s">
        <v>890</v>
      </c>
      <c r="C135" s="923"/>
      <c r="D135" s="870" t="s">
        <v>825</v>
      </c>
      <c r="E135" s="910"/>
      <c r="F135" s="862"/>
      <c r="G135" s="862"/>
      <c r="H135" s="862">
        <f t="shared" ref="H135:T135" si="51">H136</f>
        <v>0</v>
      </c>
      <c r="I135" s="862">
        <f t="shared" si="51"/>
        <v>0</v>
      </c>
      <c r="J135" s="862">
        <f t="shared" si="51"/>
        <v>0</v>
      </c>
      <c r="K135" s="862">
        <f t="shared" si="51"/>
        <v>0</v>
      </c>
      <c r="L135" s="862">
        <f t="shared" si="51"/>
        <v>0</v>
      </c>
      <c r="M135" s="862">
        <f t="shared" si="51"/>
        <v>0</v>
      </c>
      <c r="N135" s="862">
        <f t="shared" si="51"/>
        <v>0</v>
      </c>
      <c r="O135" s="862">
        <f t="shared" si="51"/>
        <v>0</v>
      </c>
      <c r="P135" s="862">
        <f t="shared" si="51"/>
        <v>0</v>
      </c>
      <c r="Q135" s="862">
        <f t="shared" si="51"/>
        <v>18400000000</v>
      </c>
      <c r="R135" s="862">
        <f t="shared" si="51"/>
        <v>18400000000</v>
      </c>
      <c r="S135" s="862">
        <f t="shared" si="51"/>
        <v>18341901000</v>
      </c>
      <c r="T135" s="862">
        <f t="shared" si="51"/>
        <v>58099000</v>
      </c>
      <c r="U135" s="862">
        <f>U136</f>
        <v>0</v>
      </c>
      <c r="V135" s="862">
        <f t="shared" ref="V135:Y135" si="52">V136</f>
        <v>0</v>
      </c>
      <c r="W135" s="862">
        <f t="shared" si="52"/>
        <v>18341901000</v>
      </c>
      <c r="X135" s="862">
        <f t="shared" si="52"/>
        <v>58099000</v>
      </c>
      <c r="Y135" s="862">
        <f t="shared" si="52"/>
        <v>52053724355</v>
      </c>
    </row>
    <row r="136" spans="1:25" ht="15" customHeight="1">
      <c r="A136" s="901" t="s">
        <v>756</v>
      </c>
      <c r="B136" s="896" t="s">
        <v>33</v>
      </c>
      <c r="C136" s="908"/>
      <c r="D136" s="870"/>
      <c r="E136" s="895"/>
      <c r="F136" s="886">
        <f>SUM(F137:F138)</f>
        <v>106535000000</v>
      </c>
      <c r="G136" s="886">
        <f t="shared" ref="G136:T136" si="53">SUM(G137:G138)</f>
        <v>33653724355</v>
      </c>
      <c r="H136" s="886">
        <f t="shared" si="53"/>
        <v>0</v>
      </c>
      <c r="I136" s="886">
        <f t="shared" si="53"/>
        <v>0</v>
      </c>
      <c r="J136" s="886">
        <f t="shared" si="53"/>
        <v>0</v>
      </c>
      <c r="K136" s="886">
        <f t="shared" si="53"/>
        <v>0</v>
      </c>
      <c r="L136" s="886">
        <f t="shared" si="53"/>
        <v>0</v>
      </c>
      <c r="M136" s="886">
        <f t="shared" si="53"/>
        <v>0</v>
      </c>
      <c r="N136" s="886">
        <f t="shared" si="53"/>
        <v>0</v>
      </c>
      <c r="O136" s="886">
        <f t="shared" si="53"/>
        <v>0</v>
      </c>
      <c r="P136" s="886">
        <f t="shared" si="53"/>
        <v>0</v>
      </c>
      <c r="Q136" s="886">
        <f>SUM(Q137:Q138)</f>
        <v>18400000000</v>
      </c>
      <c r="R136" s="886">
        <f t="shared" si="53"/>
        <v>18400000000</v>
      </c>
      <c r="S136" s="886">
        <f t="shared" si="53"/>
        <v>18341901000</v>
      </c>
      <c r="T136" s="886">
        <f t="shared" si="53"/>
        <v>58099000</v>
      </c>
      <c r="U136" s="886">
        <f>SUM(U137:U138)</f>
        <v>0</v>
      </c>
      <c r="V136" s="886">
        <f t="shared" ref="V136:Y136" si="54">SUM(V137:V138)</f>
        <v>0</v>
      </c>
      <c r="W136" s="886">
        <f t="shared" si="54"/>
        <v>18341901000</v>
      </c>
      <c r="X136" s="886">
        <f t="shared" si="54"/>
        <v>58099000</v>
      </c>
      <c r="Y136" s="886">
        <f t="shared" si="54"/>
        <v>52053724355</v>
      </c>
    </row>
    <row r="137" spans="1:25" ht="24.95" customHeight="1">
      <c r="A137" s="898"/>
      <c r="B137" s="909" t="s">
        <v>891</v>
      </c>
      <c r="C137" s="923" t="s">
        <v>892</v>
      </c>
      <c r="D137" s="870" t="s">
        <v>825</v>
      </c>
      <c r="E137" s="910" t="s">
        <v>34</v>
      </c>
      <c r="F137" s="862">
        <v>76000000000</v>
      </c>
      <c r="G137" s="862">
        <v>18377746000</v>
      </c>
      <c r="H137" s="862"/>
      <c r="I137" s="862"/>
      <c r="J137" s="862"/>
      <c r="K137" s="862"/>
      <c r="L137" s="862"/>
      <c r="M137" s="862"/>
      <c r="N137" s="862"/>
      <c r="O137" s="862"/>
      <c r="P137" s="862"/>
      <c r="Q137" s="862">
        <v>11400000000</v>
      </c>
      <c r="R137" s="862">
        <f>SUM(S137:T137)</f>
        <v>11400000000</v>
      </c>
      <c r="S137" s="862">
        <v>11341901000</v>
      </c>
      <c r="T137" s="862">
        <v>58099000</v>
      </c>
      <c r="U137" s="862"/>
      <c r="V137" s="862">
        <f>Q137-R137</f>
        <v>0</v>
      </c>
      <c r="W137" s="862">
        <f t="shared" si="45"/>
        <v>11341901000</v>
      </c>
      <c r="X137" s="862">
        <f t="shared" si="46"/>
        <v>58099000</v>
      </c>
      <c r="Y137" s="862">
        <f t="shared" si="47"/>
        <v>29777746000</v>
      </c>
    </row>
    <row r="138" spans="1:25" ht="24.95" customHeight="1">
      <c r="A138" s="898"/>
      <c r="B138" s="909" t="s">
        <v>893</v>
      </c>
      <c r="C138" s="923" t="s">
        <v>892</v>
      </c>
      <c r="D138" s="870" t="s">
        <v>825</v>
      </c>
      <c r="E138" s="910" t="s">
        <v>34</v>
      </c>
      <c r="F138" s="862">
        <v>30535000000</v>
      </c>
      <c r="G138" s="862">
        <v>15275978355</v>
      </c>
      <c r="H138" s="862"/>
      <c r="I138" s="862"/>
      <c r="J138" s="862"/>
      <c r="K138" s="862"/>
      <c r="L138" s="862"/>
      <c r="M138" s="862"/>
      <c r="N138" s="862"/>
      <c r="O138" s="862"/>
      <c r="P138" s="862"/>
      <c r="Q138" s="862">
        <v>7000000000</v>
      </c>
      <c r="R138" s="862">
        <f t="shared" si="48"/>
        <v>7000000000</v>
      </c>
      <c r="S138" s="862">
        <v>7000000000</v>
      </c>
      <c r="T138" s="862"/>
      <c r="U138" s="862"/>
      <c r="V138" s="862">
        <f>Q138-R138</f>
        <v>0</v>
      </c>
      <c r="W138" s="862">
        <f t="shared" si="45"/>
        <v>7000000000</v>
      </c>
      <c r="X138" s="862">
        <f t="shared" si="46"/>
        <v>0</v>
      </c>
      <c r="Y138" s="862">
        <f t="shared" si="47"/>
        <v>22275978355</v>
      </c>
    </row>
    <row r="139" spans="1:25" ht="15" customHeight="1">
      <c r="A139" s="898">
        <v>2</v>
      </c>
      <c r="B139" s="909" t="s">
        <v>35</v>
      </c>
      <c r="C139" s="923"/>
      <c r="D139" s="870" t="s">
        <v>825</v>
      </c>
      <c r="E139" s="910"/>
      <c r="F139" s="862">
        <f>F140</f>
        <v>0</v>
      </c>
      <c r="G139" s="862"/>
      <c r="H139" s="862">
        <f t="shared" ref="H139:Y139" si="55">H140</f>
        <v>0</v>
      </c>
      <c r="I139" s="862">
        <f t="shared" si="55"/>
        <v>0</v>
      </c>
      <c r="J139" s="862">
        <f t="shared" si="55"/>
        <v>0</v>
      </c>
      <c r="K139" s="862">
        <f t="shared" si="55"/>
        <v>0</v>
      </c>
      <c r="L139" s="862">
        <f t="shared" si="55"/>
        <v>0</v>
      </c>
      <c r="M139" s="862">
        <f t="shared" si="55"/>
        <v>0</v>
      </c>
      <c r="N139" s="862">
        <f t="shared" si="55"/>
        <v>0</v>
      </c>
      <c r="O139" s="862">
        <f t="shared" si="55"/>
        <v>0</v>
      </c>
      <c r="P139" s="862">
        <f t="shared" si="55"/>
        <v>0</v>
      </c>
      <c r="Q139" s="862">
        <f t="shared" si="55"/>
        <v>19359000000</v>
      </c>
      <c r="R139" s="862">
        <f t="shared" si="55"/>
        <v>19358178890</v>
      </c>
      <c r="S139" s="862">
        <f t="shared" si="55"/>
        <v>19338678890</v>
      </c>
      <c r="T139" s="862">
        <f t="shared" si="55"/>
        <v>19500000</v>
      </c>
      <c r="U139" s="862">
        <f t="shared" si="55"/>
        <v>0</v>
      </c>
      <c r="V139" s="862">
        <f t="shared" si="55"/>
        <v>0</v>
      </c>
      <c r="W139" s="862">
        <f t="shared" si="55"/>
        <v>19338678890</v>
      </c>
      <c r="X139" s="862">
        <f t="shared" si="55"/>
        <v>19500000</v>
      </c>
      <c r="Y139" s="862">
        <f t="shared" si="55"/>
        <v>19358178890</v>
      </c>
    </row>
    <row r="140" spans="1:25" ht="15" customHeight="1">
      <c r="A140" s="901" t="s">
        <v>756</v>
      </c>
      <c r="B140" s="896" t="s">
        <v>33</v>
      </c>
      <c r="C140" s="924"/>
      <c r="D140" s="870"/>
      <c r="E140" s="895"/>
      <c r="F140" s="886">
        <f>SUM(F141:F144)</f>
        <v>0</v>
      </c>
      <c r="G140" s="862"/>
      <c r="H140" s="886">
        <f t="shared" ref="H140:S140" si="56">SUM(H141:H144)</f>
        <v>0</v>
      </c>
      <c r="I140" s="886">
        <f t="shared" si="56"/>
        <v>0</v>
      </c>
      <c r="J140" s="886">
        <f t="shared" si="56"/>
        <v>0</v>
      </c>
      <c r="K140" s="886">
        <f t="shared" si="56"/>
        <v>0</v>
      </c>
      <c r="L140" s="886">
        <f t="shared" si="56"/>
        <v>0</v>
      </c>
      <c r="M140" s="886">
        <f t="shared" si="56"/>
        <v>0</v>
      </c>
      <c r="N140" s="886">
        <f t="shared" si="56"/>
        <v>0</v>
      </c>
      <c r="O140" s="886">
        <f t="shared" si="56"/>
        <v>0</v>
      </c>
      <c r="P140" s="886">
        <f t="shared" si="56"/>
        <v>0</v>
      </c>
      <c r="Q140" s="886">
        <f t="shared" si="56"/>
        <v>19359000000</v>
      </c>
      <c r="R140" s="886">
        <f t="shared" si="56"/>
        <v>19358178890</v>
      </c>
      <c r="S140" s="886">
        <f t="shared" si="56"/>
        <v>19338678890</v>
      </c>
      <c r="T140" s="886">
        <f>SUM(T141:T144)</f>
        <v>19500000</v>
      </c>
      <c r="U140" s="886">
        <f t="shared" ref="U140:Y140" si="57">SUM(U141:U144)</f>
        <v>0</v>
      </c>
      <c r="V140" s="886">
        <f t="shared" si="57"/>
        <v>0</v>
      </c>
      <c r="W140" s="886">
        <f t="shared" si="57"/>
        <v>19338678890</v>
      </c>
      <c r="X140" s="886">
        <f t="shared" si="57"/>
        <v>19500000</v>
      </c>
      <c r="Y140" s="886">
        <f t="shared" si="57"/>
        <v>19358178890</v>
      </c>
    </row>
    <row r="141" spans="1:25" ht="32.1" customHeight="1">
      <c r="A141" s="898"/>
      <c r="B141" s="865" t="s">
        <v>1517</v>
      </c>
      <c r="C141" s="923" t="s">
        <v>894</v>
      </c>
      <c r="D141" s="870" t="s">
        <v>825</v>
      </c>
      <c r="E141" s="863">
        <v>7004692</v>
      </c>
      <c r="F141" s="862"/>
      <c r="G141" s="862"/>
      <c r="H141" s="862"/>
      <c r="I141" s="862"/>
      <c r="J141" s="862"/>
      <c r="K141" s="862"/>
      <c r="L141" s="862"/>
      <c r="M141" s="862"/>
      <c r="N141" s="862"/>
      <c r="O141" s="862"/>
      <c r="P141" s="862"/>
      <c r="Q141" s="862">
        <v>18449000000</v>
      </c>
      <c r="R141" s="862">
        <f>SUM(S141:T141)</f>
        <v>18449000000</v>
      </c>
      <c r="S141" s="862">
        <v>18429500000</v>
      </c>
      <c r="T141" s="862">
        <v>19500000</v>
      </c>
      <c r="U141" s="862"/>
      <c r="V141" s="862"/>
      <c r="W141" s="862">
        <f>J141+M141+S141</f>
        <v>18429500000</v>
      </c>
      <c r="X141" s="862">
        <f t="shared" si="46"/>
        <v>19500000</v>
      </c>
      <c r="Y141" s="862">
        <f t="shared" si="47"/>
        <v>18449000000</v>
      </c>
    </row>
    <row r="142" spans="1:25" ht="32.1" customHeight="1">
      <c r="A142" s="898"/>
      <c r="B142" s="865" t="s">
        <v>895</v>
      </c>
      <c r="C142" s="923" t="s">
        <v>894</v>
      </c>
      <c r="D142" s="870" t="s">
        <v>825</v>
      </c>
      <c r="E142" s="863">
        <v>7004692</v>
      </c>
      <c r="F142" s="862"/>
      <c r="G142" s="862"/>
      <c r="H142" s="862"/>
      <c r="I142" s="862"/>
      <c r="J142" s="862"/>
      <c r="K142" s="862"/>
      <c r="L142" s="862"/>
      <c r="M142" s="862"/>
      <c r="N142" s="862"/>
      <c r="O142" s="862"/>
      <c r="P142" s="862"/>
      <c r="Q142" s="862">
        <v>217000000</v>
      </c>
      <c r="R142" s="862">
        <f t="shared" si="48"/>
        <v>216878000</v>
      </c>
      <c r="S142" s="862">
        <v>216878000</v>
      </c>
      <c r="T142" s="862"/>
      <c r="U142" s="862"/>
      <c r="V142" s="862"/>
      <c r="W142" s="862">
        <f t="shared" ref="W142:W144" si="58">J142+M142+S142</f>
        <v>216878000</v>
      </c>
      <c r="X142" s="862">
        <f t="shared" si="46"/>
        <v>0</v>
      </c>
      <c r="Y142" s="862">
        <f t="shared" si="47"/>
        <v>216878000</v>
      </c>
    </row>
    <row r="143" spans="1:25" ht="32.1" customHeight="1">
      <c r="A143" s="898"/>
      <c r="B143" s="865" t="s">
        <v>896</v>
      </c>
      <c r="C143" s="923" t="s">
        <v>894</v>
      </c>
      <c r="D143" s="870" t="s">
        <v>825</v>
      </c>
      <c r="E143" s="863">
        <v>7004692</v>
      </c>
      <c r="F143" s="862"/>
      <c r="G143" s="862"/>
      <c r="H143" s="862"/>
      <c r="I143" s="862"/>
      <c r="J143" s="862"/>
      <c r="K143" s="862"/>
      <c r="L143" s="862"/>
      <c r="M143" s="862"/>
      <c r="N143" s="862"/>
      <c r="O143" s="862"/>
      <c r="P143" s="862"/>
      <c r="Q143" s="862">
        <v>614000000</v>
      </c>
      <c r="R143" s="862">
        <f t="shared" si="48"/>
        <v>613977130</v>
      </c>
      <c r="S143" s="862">
        <v>613977130</v>
      </c>
      <c r="T143" s="862"/>
      <c r="U143" s="862"/>
      <c r="V143" s="862"/>
      <c r="W143" s="862">
        <f t="shared" si="58"/>
        <v>613977130</v>
      </c>
      <c r="X143" s="862">
        <f t="shared" si="46"/>
        <v>0</v>
      </c>
      <c r="Y143" s="862">
        <f t="shared" si="47"/>
        <v>613977130</v>
      </c>
    </row>
    <row r="144" spans="1:25" ht="32.1" customHeight="1">
      <c r="A144" s="898"/>
      <c r="B144" s="865" t="s">
        <v>897</v>
      </c>
      <c r="C144" s="923" t="s">
        <v>894</v>
      </c>
      <c r="D144" s="870" t="s">
        <v>825</v>
      </c>
      <c r="E144" s="863">
        <v>7004692</v>
      </c>
      <c r="F144" s="862"/>
      <c r="G144" s="862"/>
      <c r="H144" s="862"/>
      <c r="I144" s="862"/>
      <c r="J144" s="862"/>
      <c r="K144" s="862"/>
      <c r="L144" s="862"/>
      <c r="M144" s="862"/>
      <c r="N144" s="862"/>
      <c r="O144" s="862"/>
      <c r="P144" s="862"/>
      <c r="Q144" s="862">
        <v>79000000</v>
      </c>
      <c r="R144" s="862">
        <f t="shared" si="48"/>
        <v>78323760</v>
      </c>
      <c r="S144" s="862">
        <v>78323760</v>
      </c>
      <c r="T144" s="862"/>
      <c r="U144" s="862"/>
      <c r="V144" s="862"/>
      <c r="W144" s="862">
        <f t="shared" si="58"/>
        <v>78323760</v>
      </c>
      <c r="X144" s="862">
        <f t="shared" si="46"/>
        <v>0</v>
      </c>
      <c r="Y144" s="862">
        <f t="shared" si="47"/>
        <v>78323760</v>
      </c>
    </row>
    <row r="145" spans="1:25" ht="24.95" customHeight="1">
      <c r="A145" s="898">
        <v>3</v>
      </c>
      <c r="B145" s="899" t="s">
        <v>898</v>
      </c>
      <c r="C145" s="923"/>
      <c r="D145" s="870" t="s">
        <v>825</v>
      </c>
      <c r="E145" s="898"/>
      <c r="F145" s="862">
        <f>F146+F150</f>
        <v>34701817000</v>
      </c>
      <c r="G145" s="862"/>
      <c r="H145" s="862">
        <f t="shared" ref="H145:S145" si="59">H146+H150</f>
        <v>0</v>
      </c>
      <c r="I145" s="862">
        <f t="shared" si="59"/>
        <v>0</v>
      </c>
      <c r="J145" s="862">
        <f t="shared" si="59"/>
        <v>0</v>
      </c>
      <c r="K145" s="862">
        <f t="shared" si="59"/>
        <v>0</v>
      </c>
      <c r="L145" s="862">
        <f t="shared" si="59"/>
        <v>0</v>
      </c>
      <c r="M145" s="862">
        <f t="shared" si="59"/>
        <v>0</v>
      </c>
      <c r="N145" s="862">
        <f t="shared" si="59"/>
        <v>0</v>
      </c>
      <c r="O145" s="862">
        <f t="shared" si="59"/>
        <v>0</v>
      </c>
      <c r="P145" s="862">
        <f t="shared" si="59"/>
        <v>0</v>
      </c>
      <c r="Q145" s="862">
        <f t="shared" si="59"/>
        <v>19958000000</v>
      </c>
      <c r="R145" s="862">
        <f t="shared" si="59"/>
        <v>19904537000</v>
      </c>
      <c r="S145" s="862">
        <f t="shared" si="59"/>
        <v>19765339000</v>
      </c>
      <c r="T145" s="862">
        <f>T146+T150</f>
        <v>139198000</v>
      </c>
      <c r="U145" s="862">
        <f t="shared" ref="U145:Y145" si="60">U146+U150</f>
        <v>0</v>
      </c>
      <c r="V145" s="862">
        <f t="shared" si="60"/>
        <v>53463000</v>
      </c>
      <c r="W145" s="862">
        <f t="shared" si="60"/>
        <v>19765339000</v>
      </c>
      <c r="X145" s="862">
        <f t="shared" si="60"/>
        <v>139198000</v>
      </c>
      <c r="Y145" s="862">
        <f t="shared" si="60"/>
        <v>28670544000</v>
      </c>
    </row>
    <row r="146" spans="1:25" ht="15" customHeight="1">
      <c r="A146" s="901" t="s">
        <v>756</v>
      </c>
      <c r="B146" s="896" t="s">
        <v>33</v>
      </c>
      <c r="C146" s="924"/>
      <c r="D146" s="870" t="s">
        <v>825</v>
      </c>
      <c r="E146" s="895"/>
      <c r="F146" s="886">
        <f>SUM(F147:F149)</f>
        <v>11621537000</v>
      </c>
      <c r="G146" s="862"/>
      <c r="H146" s="886">
        <f t="shared" ref="H146:S146" si="61">SUM(H147:H149)</f>
        <v>0</v>
      </c>
      <c r="I146" s="886">
        <f t="shared" si="61"/>
        <v>0</v>
      </c>
      <c r="J146" s="886">
        <f t="shared" si="61"/>
        <v>0</v>
      </c>
      <c r="K146" s="886">
        <f t="shared" si="61"/>
        <v>0</v>
      </c>
      <c r="L146" s="886">
        <f t="shared" si="61"/>
        <v>0</v>
      </c>
      <c r="M146" s="886">
        <f t="shared" si="61"/>
        <v>0</v>
      </c>
      <c r="N146" s="886">
        <f t="shared" si="61"/>
        <v>0</v>
      </c>
      <c r="O146" s="886">
        <f t="shared" si="61"/>
        <v>0</v>
      </c>
      <c r="P146" s="886">
        <f t="shared" si="61"/>
        <v>0</v>
      </c>
      <c r="Q146" s="886">
        <f t="shared" si="61"/>
        <v>8770000000</v>
      </c>
      <c r="R146" s="886">
        <f t="shared" si="61"/>
        <v>8749440000</v>
      </c>
      <c r="S146" s="886">
        <f t="shared" si="61"/>
        <v>8749440000</v>
      </c>
      <c r="T146" s="886">
        <f>SUM(T147:T149)</f>
        <v>0</v>
      </c>
      <c r="U146" s="886">
        <f t="shared" ref="U146:Y146" si="62">SUM(U147:U149)</f>
        <v>0</v>
      </c>
      <c r="V146" s="886">
        <f t="shared" si="62"/>
        <v>20560000</v>
      </c>
      <c r="W146" s="886">
        <f t="shared" si="62"/>
        <v>8749440000</v>
      </c>
      <c r="X146" s="886">
        <f t="shared" si="62"/>
        <v>0</v>
      </c>
      <c r="Y146" s="886">
        <f t="shared" si="62"/>
        <v>11521263000</v>
      </c>
    </row>
    <row r="147" spans="1:25" ht="24.95" customHeight="1">
      <c r="A147" s="898"/>
      <c r="B147" s="974" t="s">
        <v>1518</v>
      </c>
      <c r="C147" s="923" t="s">
        <v>899</v>
      </c>
      <c r="D147" s="870" t="s">
        <v>825</v>
      </c>
      <c r="E147" s="898">
        <v>7004686</v>
      </c>
      <c r="F147" s="862">
        <v>5125000000</v>
      </c>
      <c r="G147" s="862"/>
      <c r="H147" s="862"/>
      <c r="I147" s="862"/>
      <c r="J147" s="862"/>
      <c r="K147" s="862"/>
      <c r="L147" s="862"/>
      <c r="M147" s="862"/>
      <c r="N147" s="862"/>
      <c r="O147" s="862"/>
      <c r="P147" s="862"/>
      <c r="Q147" s="862">
        <v>5215000000</v>
      </c>
      <c r="R147" s="862">
        <f t="shared" si="48"/>
        <v>5215000000</v>
      </c>
      <c r="S147" s="862">
        <v>5215000000</v>
      </c>
      <c r="T147" s="862"/>
      <c r="U147" s="862"/>
      <c r="V147" s="862">
        <f t="shared" ref="V147:V154" si="63">Q147-R147</f>
        <v>0</v>
      </c>
      <c r="W147" s="862">
        <f t="shared" si="45"/>
        <v>5215000000</v>
      </c>
      <c r="X147" s="862">
        <f t="shared" si="46"/>
        <v>0</v>
      </c>
      <c r="Y147" s="862">
        <f t="shared" si="47"/>
        <v>5215000000</v>
      </c>
    </row>
    <row r="148" spans="1:25" ht="24.95" customHeight="1">
      <c r="A148" s="898"/>
      <c r="B148" s="899" t="s">
        <v>1519</v>
      </c>
      <c r="C148" s="923" t="s">
        <v>899</v>
      </c>
      <c r="D148" s="870" t="s">
        <v>825</v>
      </c>
      <c r="E148" s="898">
        <v>7004686</v>
      </c>
      <c r="F148" s="862">
        <v>4618119000</v>
      </c>
      <c r="G148" s="862">
        <v>1619615000</v>
      </c>
      <c r="H148" s="862"/>
      <c r="I148" s="862"/>
      <c r="J148" s="862"/>
      <c r="K148" s="862"/>
      <c r="L148" s="862"/>
      <c r="M148" s="862"/>
      <c r="N148" s="862"/>
      <c r="O148" s="862"/>
      <c r="P148" s="862"/>
      <c r="Q148" s="862">
        <v>2585000000</v>
      </c>
      <c r="R148" s="862">
        <v>2584999000</v>
      </c>
      <c r="S148" s="862">
        <f>2629999000-45000000</f>
        <v>2584999000</v>
      </c>
      <c r="T148" s="862">
        <f>R148-S148</f>
        <v>0</v>
      </c>
      <c r="U148" s="862"/>
      <c r="V148" s="862">
        <f t="shared" si="63"/>
        <v>1000</v>
      </c>
      <c r="W148" s="862">
        <f t="shared" si="45"/>
        <v>2584999000</v>
      </c>
      <c r="X148" s="862">
        <f t="shared" si="46"/>
        <v>0</v>
      </c>
      <c r="Y148" s="862">
        <f t="shared" si="47"/>
        <v>4204614000</v>
      </c>
    </row>
    <row r="149" spans="1:25" ht="32.1" customHeight="1">
      <c r="A149" s="898"/>
      <c r="B149" s="899" t="s">
        <v>1520</v>
      </c>
      <c r="C149" s="923" t="s">
        <v>899</v>
      </c>
      <c r="D149" s="870" t="s">
        <v>825</v>
      </c>
      <c r="E149" s="898">
        <v>7004686</v>
      </c>
      <c r="F149" s="862">
        <v>1878418000</v>
      </c>
      <c r="G149" s="862">
        <v>1152208000</v>
      </c>
      <c r="H149" s="862"/>
      <c r="I149" s="862"/>
      <c r="J149" s="862"/>
      <c r="K149" s="862"/>
      <c r="L149" s="862"/>
      <c r="M149" s="862"/>
      <c r="N149" s="862"/>
      <c r="O149" s="862"/>
      <c r="P149" s="862"/>
      <c r="Q149" s="862">
        <v>970000000</v>
      </c>
      <c r="R149" s="862">
        <f t="shared" si="48"/>
        <v>949441000</v>
      </c>
      <c r="S149" s="862">
        <v>949441000</v>
      </c>
      <c r="T149" s="862"/>
      <c r="U149" s="862"/>
      <c r="V149" s="862">
        <f t="shared" si="63"/>
        <v>20559000</v>
      </c>
      <c r="W149" s="862">
        <f t="shared" si="45"/>
        <v>949441000</v>
      </c>
      <c r="X149" s="862">
        <f t="shared" si="46"/>
        <v>0</v>
      </c>
      <c r="Y149" s="862">
        <f t="shared" si="47"/>
        <v>2101649000</v>
      </c>
    </row>
    <row r="150" spans="1:25" ht="15" customHeight="1">
      <c r="A150" s="901" t="s">
        <v>758</v>
      </c>
      <c r="B150" s="925" t="s">
        <v>558</v>
      </c>
      <c r="C150" s="924"/>
      <c r="D150" s="870" t="s">
        <v>825</v>
      </c>
      <c r="E150" s="926"/>
      <c r="F150" s="886">
        <f>SUM(F151:F154)</f>
        <v>23080280000</v>
      </c>
      <c r="G150" s="862"/>
      <c r="H150" s="886">
        <f t="shared" ref="H150:R150" si="64">SUM(H151:H154)</f>
        <v>0</v>
      </c>
      <c r="I150" s="886">
        <f t="shared" si="64"/>
        <v>0</v>
      </c>
      <c r="J150" s="886">
        <f t="shared" si="64"/>
        <v>0</v>
      </c>
      <c r="K150" s="886">
        <f t="shared" si="64"/>
        <v>0</v>
      </c>
      <c r="L150" s="886">
        <f t="shared" si="64"/>
        <v>0</v>
      </c>
      <c r="M150" s="886">
        <f t="shared" si="64"/>
        <v>0</v>
      </c>
      <c r="N150" s="886">
        <f t="shared" si="64"/>
        <v>0</v>
      </c>
      <c r="O150" s="886">
        <f t="shared" si="64"/>
        <v>0</v>
      </c>
      <c r="P150" s="886">
        <f t="shared" si="64"/>
        <v>0</v>
      </c>
      <c r="Q150" s="886">
        <f t="shared" si="64"/>
        <v>11188000000</v>
      </c>
      <c r="R150" s="886">
        <f t="shared" si="64"/>
        <v>11155097000</v>
      </c>
      <c r="S150" s="886">
        <f>SUM(S151:S154)</f>
        <v>11015899000</v>
      </c>
      <c r="T150" s="886">
        <f t="shared" ref="T150:Y150" si="65">SUM(T151:T154)</f>
        <v>139198000</v>
      </c>
      <c r="U150" s="886">
        <f t="shared" si="65"/>
        <v>0</v>
      </c>
      <c r="V150" s="886">
        <f t="shared" si="65"/>
        <v>32903000</v>
      </c>
      <c r="W150" s="886">
        <f t="shared" si="65"/>
        <v>11015899000</v>
      </c>
      <c r="X150" s="886">
        <f t="shared" si="65"/>
        <v>139198000</v>
      </c>
      <c r="Y150" s="886">
        <f t="shared" si="65"/>
        <v>17149281000</v>
      </c>
    </row>
    <row r="151" spans="1:25" ht="32.1" customHeight="1">
      <c r="A151" s="898"/>
      <c r="B151" s="899" t="s">
        <v>1521</v>
      </c>
      <c r="C151" s="923" t="s">
        <v>899</v>
      </c>
      <c r="D151" s="870" t="s">
        <v>825</v>
      </c>
      <c r="E151" s="898">
        <v>7004686</v>
      </c>
      <c r="F151" s="862">
        <v>6456146000</v>
      </c>
      <c r="G151" s="862">
        <v>2294042000</v>
      </c>
      <c r="H151" s="862"/>
      <c r="I151" s="862"/>
      <c r="J151" s="862"/>
      <c r="K151" s="862"/>
      <c r="L151" s="862"/>
      <c r="M151" s="862"/>
      <c r="N151" s="862"/>
      <c r="O151" s="862"/>
      <c r="P151" s="862"/>
      <c r="Q151" s="862">
        <v>4000000000</v>
      </c>
      <c r="R151" s="862">
        <f t="shared" si="48"/>
        <v>4000000000</v>
      </c>
      <c r="S151" s="862">
        <v>4000000000</v>
      </c>
      <c r="T151" s="862"/>
      <c r="U151" s="862"/>
      <c r="V151" s="862">
        <f t="shared" si="63"/>
        <v>0</v>
      </c>
      <c r="W151" s="862">
        <f t="shared" si="45"/>
        <v>4000000000</v>
      </c>
      <c r="X151" s="862">
        <f t="shared" si="46"/>
        <v>0</v>
      </c>
      <c r="Y151" s="862">
        <f t="shared" si="47"/>
        <v>6294042000</v>
      </c>
    </row>
    <row r="152" spans="1:25" ht="32.1" customHeight="1">
      <c r="A152" s="898"/>
      <c r="B152" s="899" t="s">
        <v>1522</v>
      </c>
      <c r="C152" s="923" t="s">
        <v>899</v>
      </c>
      <c r="D152" s="870" t="s">
        <v>825</v>
      </c>
      <c r="E152" s="898">
        <v>7004686</v>
      </c>
      <c r="F152" s="862">
        <v>5490382000</v>
      </c>
      <c r="G152" s="862">
        <v>3700142000</v>
      </c>
      <c r="H152" s="862"/>
      <c r="I152" s="862"/>
      <c r="J152" s="862"/>
      <c r="K152" s="862"/>
      <c r="L152" s="862"/>
      <c r="M152" s="862"/>
      <c r="N152" s="862"/>
      <c r="O152" s="862"/>
      <c r="P152" s="862"/>
      <c r="Q152" s="862">
        <v>5393000000</v>
      </c>
      <c r="R152" s="862">
        <f>SUM(S152:T152)</f>
        <v>5393000000</v>
      </c>
      <c r="S152" s="862">
        <f>5254145000-343000</f>
        <v>5253802000</v>
      </c>
      <c r="T152" s="862">
        <v>139198000</v>
      </c>
      <c r="U152" s="862"/>
      <c r="V152" s="862">
        <f t="shared" si="63"/>
        <v>0</v>
      </c>
      <c r="W152" s="862">
        <f t="shared" si="45"/>
        <v>5253802000</v>
      </c>
      <c r="X152" s="862">
        <f t="shared" si="46"/>
        <v>139198000</v>
      </c>
      <c r="Y152" s="862">
        <f t="shared" si="47"/>
        <v>9093142000</v>
      </c>
    </row>
    <row r="153" spans="1:25" ht="32.1" customHeight="1">
      <c r="A153" s="898"/>
      <c r="B153" s="899" t="s">
        <v>1523</v>
      </c>
      <c r="C153" s="923" t="s">
        <v>899</v>
      </c>
      <c r="D153" s="870" t="s">
        <v>825</v>
      </c>
      <c r="E153" s="898">
        <v>7004686</v>
      </c>
      <c r="F153" s="862">
        <v>5905494000</v>
      </c>
      <c r="G153" s="862"/>
      <c r="H153" s="862"/>
      <c r="I153" s="862"/>
      <c r="J153" s="862"/>
      <c r="K153" s="862"/>
      <c r="L153" s="862"/>
      <c r="M153" s="862"/>
      <c r="N153" s="862"/>
      <c r="O153" s="862"/>
      <c r="P153" s="862"/>
      <c r="Q153" s="862">
        <v>800000000</v>
      </c>
      <c r="R153" s="862">
        <f>SUM(S153:T153)</f>
        <v>800000000</v>
      </c>
      <c r="S153" s="862">
        <f>631194000+168806000</f>
        <v>800000000</v>
      </c>
      <c r="T153" s="862"/>
      <c r="U153" s="862"/>
      <c r="V153" s="862">
        <f t="shared" si="63"/>
        <v>0</v>
      </c>
      <c r="W153" s="862">
        <f t="shared" si="45"/>
        <v>800000000</v>
      </c>
      <c r="X153" s="862">
        <f t="shared" si="46"/>
        <v>0</v>
      </c>
      <c r="Y153" s="862">
        <f t="shared" si="47"/>
        <v>800000000</v>
      </c>
    </row>
    <row r="154" spans="1:25" ht="42" customHeight="1">
      <c r="A154" s="898"/>
      <c r="B154" s="899" t="s">
        <v>1524</v>
      </c>
      <c r="C154" s="923" t="s">
        <v>899</v>
      </c>
      <c r="D154" s="870" t="s">
        <v>825</v>
      </c>
      <c r="E154" s="898">
        <v>7004686</v>
      </c>
      <c r="F154" s="862">
        <v>5228258000</v>
      </c>
      <c r="G154" s="862"/>
      <c r="H154" s="862"/>
      <c r="I154" s="862"/>
      <c r="J154" s="862"/>
      <c r="K154" s="862"/>
      <c r="L154" s="862"/>
      <c r="M154" s="862"/>
      <c r="N154" s="862"/>
      <c r="O154" s="862"/>
      <c r="P154" s="862"/>
      <c r="Q154" s="862">
        <v>995000000</v>
      </c>
      <c r="R154" s="862">
        <f t="shared" si="48"/>
        <v>962097000</v>
      </c>
      <c r="S154" s="862">
        <v>962097000</v>
      </c>
      <c r="T154" s="862"/>
      <c r="U154" s="862"/>
      <c r="V154" s="862">
        <f t="shared" si="63"/>
        <v>32903000</v>
      </c>
      <c r="W154" s="862">
        <f t="shared" si="45"/>
        <v>962097000</v>
      </c>
      <c r="X154" s="862">
        <f t="shared" si="46"/>
        <v>0</v>
      </c>
      <c r="Y154" s="862">
        <f t="shared" si="47"/>
        <v>962097000</v>
      </c>
    </row>
    <row r="155" spans="1:25" s="515" customFormat="1" ht="15" customHeight="1">
      <c r="A155" s="912" t="s">
        <v>408</v>
      </c>
      <c r="B155" s="916" t="s">
        <v>900</v>
      </c>
      <c r="C155" s="927" t="s">
        <v>901</v>
      </c>
      <c r="D155" s="870"/>
      <c r="E155" s="912"/>
      <c r="F155" s="884">
        <f>SUM(F156:F182)</f>
        <v>1318093029000</v>
      </c>
      <c r="G155" s="884">
        <f>SUM(G156:G182)</f>
        <v>7270761000</v>
      </c>
      <c r="H155" s="884">
        <f t="shared" ref="H155:Y155" si="66">SUM(H156:H182)</f>
        <v>0</v>
      </c>
      <c r="I155" s="884">
        <f t="shared" si="66"/>
        <v>0</v>
      </c>
      <c r="J155" s="884">
        <f t="shared" si="66"/>
        <v>0</v>
      </c>
      <c r="K155" s="884">
        <f t="shared" si="66"/>
        <v>0</v>
      </c>
      <c r="L155" s="884">
        <f t="shared" si="66"/>
        <v>0</v>
      </c>
      <c r="M155" s="884">
        <f t="shared" si="66"/>
        <v>0</v>
      </c>
      <c r="N155" s="884">
        <f t="shared" si="66"/>
        <v>0</v>
      </c>
      <c r="O155" s="884">
        <f t="shared" si="66"/>
        <v>0</v>
      </c>
      <c r="P155" s="884">
        <f t="shared" si="66"/>
        <v>0</v>
      </c>
      <c r="Q155" s="884">
        <f t="shared" si="66"/>
        <v>11304000000</v>
      </c>
      <c r="R155" s="884">
        <f t="shared" si="66"/>
        <v>11297991000</v>
      </c>
      <c r="S155" s="884">
        <f t="shared" si="66"/>
        <v>10869295000</v>
      </c>
      <c r="T155" s="884">
        <f t="shared" si="66"/>
        <v>428696000</v>
      </c>
      <c r="U155" s="884">
        <f t="shared" si="66"/>
        <v>0</v>
      </c>
      <c r="V155" s="884">
        <f t="shared" si="66"/>
        <v>592000</v>
      </c>
      <c r="W155" s="884">
        <f t="shared" si="66"/>
        <v>10869295000</v>
      </c>
      <c r="X155" s="884">
        <f t="shared" si="66"/>
        <v>428696000</v>
      </c>
      <c r="Y155" s="884">
        <f t="shared" si="66"/>
        <v>18568752000</v>
      </c>
    </row>
    <row r="156" spans="1:25" ht="51.95" customHeight="1">
      <c r="A156" s="863">
        <v>1</v>
      </c>
      <c r="B156" s="865" t="s">
        <v>902</v>
      </c>
      <c r="C156" s="861" t="s">
        <v>836</v>
      </c>
      <c r="D156" s="870" t="s">
        <v>825</v>
      </c>
      <c r="E156" s="863">
        <v>7618350</v>
      </c>
      <c r="F156" s="862">
        <v>7984000000</v>
      </c>
      <c r="G156" s="862"/>
      <c r="H156" s="862"/>
      <c r="I156" s="862"/>
      <c r="J156" s="862"/>
      <c r="K156" s="862"/>
      <c r="L156" s="862"/>
      <c r="M156" s="862"/>
      <c r="N156" s="862"/>
      <c r="O156" s="862"/>
      <c r="P156" s="862"/>
      <c r="Q156" s="862">
        <v>1450000000</v>
      </c>
      <c r="R156" s="862">
        <f t="shared" si="48"/>
        <v>1450000000</v>
      </c>
      <c r="S156" s="862">
        <v>1450000000</v>
      </c>
      <c r="T156" s="862"/>
      <c r="U156" s="862"/>
      <c r="V156" s="862"/>
      <c r="W156" s="862">
        <f t="shared" si="45"/>
        <v>1450000000</v>
      </c>
      <c r="X156" s="862">
        <f t="shared" si="46"/>
        <v>0</v>
      </c>
      <c r="Y156" s="862">
        <f t="shared" si="47"/>
        <v>1450000000</v>
      </c>
    </row>
    <row r="157" spans="1:25" ht="42" customHeight="1">
      <c r="A157" s="863">
        <v>2</v>
      </c>
      <c r="B157" s="865" t="s">
        <v>1454</v>
      </c>
      <c r="C157" s="861" t="s">
        <v>903</v>
      </c>
      <c r="D157" s="870" t="s">
        <v>825</v>
      </c>
      <c r="E157" s="863">
        <v>7454817</v>
      </c>
      <c r="F157" s="862">
        <v>1000000000</v>
      </c>
      <c r="G157" s="862">
        <v>512366000</v>
      </c>
      <c r="H157" s="862"/>
      <c r="I157" s="862"/>
      <c r="J157" s="862"/>
      <c r="K157" s="862"/>
      <c r="L157" s="862"/>
      <c r="M157" s="862"/>
      <c r="N157" s="862"/>
      <c r="O157" s="862"/>
      <c r="P157" s="862"/>
      <c r="Q157" s="862">
        <v>100000000</v>
      </c>
      <c r="R157" s="862">
        <f t="shared" si="48"/>
        <v>100000000</v>
      </c>
      <c r="S157" s="862">
        <v>100000000</v>
      </c>
      <c r="T157" s="862"/>
      <c r="U157" s="862"/>
      <c r="V157" s="862"/>
      <c r="W157" s="862">
        <f t="shared" si="45"/>
        <v>100000000</v>
      </c>
      <c r="X157" s="862">
        <f t="shared" si="46"/>
        <v>0</v>
      </c>
      <c r="Y157" s="862">
        <f t="shared" si="47"/>
        <v>612366000</v>
      </c>
    </row>
    <row r="158" spans="1:25" ht="42" customHeight="1">
      <c r="A158" s="863">
        <v>3</v>
      </c>
      <c r="B158" s="865" t="s">
        <v>1455</v>
      </c>
      <c r="C158" s="861" t="s">
        <v>903</v>
      </c>
      <c r="D158" s="870" t="s">
        <v>825</v>
      </c>
      <c r="E158" s="863">
        <v>7517115</v>
      </c>
      <c r="F158" s="862">
        <v>979000000</v>
      </c>
      <c r="G158" s="862">
        <v>300000000</v>
      </c>
      <c r="H158" s="862"/>
      <c r="I158" s="862"/>
      <c r="J158" s="862"/>
      <c r="K158" s="862"/>
      <c r="L158" s="862"/>
      <c r="M158" s="862"/>
      <c r="N158" s="862"/>
      <c r="O158" s="862"/>
      <c r="P158" s="862"/>
      <c r="Q158" s="862">
        <v>336000000</v>
      </c>
      <c r="R158" s="862">
        <f t="shared" si="48"/>
        <v>336000000</v>
      </c>
      <c r="S158" s="862">
        <v>336000000</v>
      </c>
      <c r="T158" s="862"/>
      <c r="U158" s="862"/>
      <c r="V158" s="862"/>
      <c r="W158" s="862">
        <f t="shared" si="45"/>
        <v>336000000</v>
      </c>
      <c r="X158" s="862">
        <f t="shared" si="46"/>
        <v>0</v>
      </c>
      <c r="Y158" s="862">
        <f t="shared" si="47"/>
        <v>636000000</v>
      </c>
    </row>
    <row r="159" spans="1:25" ht="51.95" customHeight="1">
      <c r="A159" s="863">
        <v>4</v>
      </c>
      <c r="B159" s="865" t="s">
        <v>1456</v>
      </c>
      <c r="C159" s="861" t="s">
        <v>903</v>
      </c>
      <c r="D159" s="870" t="s">
        <v>825</v>
      </c>
      <c r="E159" s="863">
        <v>7619970</v>
      </c>
      <c r="F159" s="862">
        <v>149000000</v>
      </c>
      <c r="G159" s="862"/>
      <c r="H159" s="862"/>
      <c r="I159" s="862"/>
      <c r="J159" s="862"/>
      <c r="K159" s="862"/>
      <c r="L159" s="862"/>
      <c r="M159" s="862"/>
      <c r="N159" s="862"/>
      <c r="O159" s="862"/>
      <c r="P159" s="862"/>
      <c r="Q159" s="862">
        <v>137000000</v>
      </c>
      <c r="R159" s="862">
        <f t="shared" si="48"/>
        <v>136041000</v>
      </c>
      <c r="S159" s="862">
        <v>136041000</v>
      </c>
      <c r="T159" s="862"/>
      <c r="U159" s="862"/>
      <c r="V159" s="862"/>
      <c r="W159" s="862">
        <f t="shared" si="45"/>
        <v>136041000</v>
      </c>
      <c r="X159" s="862">
        <f t="shared" si="46"/>
        <v>0</v>
      </c>
      <c r="Y159" s="862">
        <f t="shared" si="47"/>
        <v>136041000</v>
      </c>
    </row>
    <row r="160" spans="1:25" ht="24.95" customHeight="1">
      <c r="A160" s="863">
        <v>5</v>
      </c>
      <c r="B160" s="865" t="s">
        <v>904</v>
      </c>
      <c r="C160" s="861" t="s">
        <v>867</v>
      </c>
      <c r="D160" s="870" t="s">
        <v>825</v>
      </c>
      <c r="E160" s="863">
        <v>7603197</v>
      </c>
      <c r="F160" s="862">
        <v>604000000</v>
      </c>
      <c r="G160" s="862"/>
      <c r="H160" s="862"/>
      <c r="I160" s="862"/>
      <c r="J160" s="862"/>
      <c r="K160" s="862"/>
      <c r="L160" s="862"/>
      <c r="M160" s="862"/>
      <c r="N160" s="862"/>
      <c r="O160" s="862"/>
      <c r="P160" s="862"/>
      <c r="Q160" s="862">
        <v>459000000</v>
      </c>
      <c r="R160" s="862">
        <f t="shared" si="48"/>
        <v>458160000</v>
      </c>
      <c r="S160" s="862">
        <v>458160000</v>
      </c>
      <c r="T160" s="862"/>
      <c r="U160" s="862"/>
      <c r="V160" s="862"/>
      <c r="W160" s="862">
        <f t="shared" si="45"/>
        <v>458160000</v>
      </c>
      <c r="X160" s="862">
        <f t="shared" si="46"/>
        <v>0</v>
      </c>
      <c r="Y160" s="862">
        <f t="shared" si="47"/>
        <v>458160000</v>
      </c>
    </row>
    <row r="161" spans="1:25" ht="24.95" customHeight="1">
      <c r="A161" s="863">
        <v>6</v>
      </c>
      <c r="B161" s="865" t="s">
        <v>905</v>
      </c>
      <c r="C161" s="861" t="s">
        <v>867</v>
      </c>
      <c r="D161" s="870" t="s">
        <v>825</v>
      </c>
      <c r="E161" s="863">
        <v>7603666</v>
      </c>
      <c r="F161" s="862">
        <v>573000000</v>
      </c>
      <c r="G161" s="862"/>
      <c r="H161" s="862"/>
      <c r="I161" s="862"/>
      <c r="J161" s="862"/>
      <c r="K161" s="862"/>
      <c r="L161" s="862"/>
      <c r="M161" s="862"/>
      <c r="N161" s="862"/>
      <c r="O161" s="862"/>
      <c r="P161" s="862"/>
      <c r="Q161" s="862">
        <v>400000000</v>
      </c>
      <c r="R161" s="862">
        <f t="shared" si="48"/>
        <v>400000000</v>
      </c>
      <c r="S161" s="862">
        <v>400000000</v>
      </c>
      <c r="T161" s="862"/>
      <c r="U161" s="862"/>
      <c r="V161" s="862"/>
      <c r="W161" s="862">
        <f t="shared" si="45"/>
        <v>400000000</v>
      </c>
      <c r="X161" s="862">
        <f t="shared" si="46"/>
        <v>0</v>
      </c>
      <c r="Y161" s="862">
        <f t="shared" si="47"/>
        <v>400000000</v>
      </c>
    </row>
    <row r="162" spans="1:25" ht="24.95" customHeight="1">
      <c r="A162" s="863">
        <v>7</v>
      </c>
      <c r="B162" s="865" t="s">
        <v>906</v>
      </c>
      <c r="C162" s="861" t="s">
        <v>867</v>
      </c>
      <c r="D162" s="870" t="s">
        <v>825</v>
      </c>
      <c r="E162" s="863">
        <v>7597290</v>
      </c>
      <c r="F162" s="862">
        <v>79534000000</v>
      </c>
      <c r="G162" s="862"/>
      <c r="H162" s="862"/>
      <c r="I162" s="862"/>
      <c r="J162" s="862"/>
      <c r="K162" s="862"/>
      <c r="L162" s="862"/>
      <c r="M162" s="862"/>
      <c r="N162" s="862"/>
      <c r="O162" s="862"/>
      <c r="P162" s="862"/>
      <c r="Q162" s="862">
        <v>1070000000</v>
      </c>
      <c r="R162" s="862">
        <f t="shared" si="48"/>
        <v>1070000000</v>
      </c>
      <c r="S162" s="862">
        <v>1070000000</v>
      </c>
      <c r="T162" s="862"/>
      <c r="U162" s="862"/>
      <c r="V162" s="862"/>
      <c r="W162" s="862">
        <f t="shared" si="45"/>
        <v>1070000000</v>
      </c>
      <c r="X162" s="862">
        <f t="shared" si="46"/>
        <v>0</v>
      </c>
      <c r="Y162" s="862">
        <f t="shared" si="47"/>
        <v>1070000000</v>
      </c>
    </row>
    <row r="163" spans="1:25" ht="42" customHeight="1">
      <c r="A163" s="863">
        <v>8</v>
      </c>
      <c r="B163" s="865" t="s">
        <v>1311</v>
      </c>
      <c r="C163" s="861" t="s">
        <v>867</v>
      </c>
      <c r="D163" s="870" t="s">
        <v>825</v>
      </c>
      <c r="E163" s="863">
        <v>7652205</v>
      </c>
      <c r="F163" s="862">
        <v>580029000</v>
      </c>
      <c r="G163" s="862"/>
      <c r="H163" s="862"/>
      <c r="I163" s="862"/>
      <c r="J163" s="862"/>
      <c r="K163" s="862"/>
      <c r="L163" s="862"/>
      <c r="M163" s="862"/>
      <c r="N163" s="862"/>
      <c r="O163" s="862"/>
      <c r="P163" s="862"/>
      <c r="Q163" s="862">
        <v>460000000</v>
      </c>
      <c r="R163" s="862">
        <f t="shared" si="48"/>
        <v>457799000</v>
      </c>
      <c r="S163" s="862">
        <v>457799000</v>
      </c>
      <c r="T163" s="862"/>
      <c r="U163" s="862"/>
      <c r="V163" s="862"/>
      <c r="W163" s="862">
        <f t="shared" si="45"/>
        <v>457799000</v>
      </c>
      <c r="X163" s="862">
        <f t="shared" si="46"/>
        <v>0</v>
      </c>
      <c r="Y163" s="862">
        <f t="shared" si="47"/>
        <v>457799000</v>
      </c>
    </row>
    <row r="164" spans="1:25" ht="24.95" customHeight="1">
      <c r="A164" s="863">
        <v>9</v>
      </c>
      <c r="B164" s="865" t="s">
        <v>907</v>
      </c>
      <c r="C164" s="861" t="s">
        <v>867</v>
      </c>
      <c r="D164" s="870" t="s">
        <v>825</v>
      </c>
      <c r="E164" s="863">
        <v>7596751</v>
      </c>
      <c r="F164" s="862">
        <v>88954000000</v>
      </c>
      <c r="G164" s="862"/>
      <c r="H164" s="862"/>
      <c r="I164" s="862"/>
      <c r="J164" s="862"/>
      <c r="K164" s="862"/>
      <c r="L164" s="862"/>
      <c r="M164" s="862"/>
      <c r="N164" s="862"/>
      <c r="O164" s="862"/>
      <c r="P164" s="862"/>
      <c r="Q164" s="862">
        <v>400000000</v>
      </c>
      <c r="R164" s="862">
        <f t="shared" si="48"/>
        <v>400000000</v>
      </c>
      <c r="S164" s="862">
        <v>400000000</v>
      </c>
      <c r="T164" s="862"/>
      <c r="U164" s="862"/>
      <c r="V164" s="862"/>
      <c r="W164" s="862">
        <f t="shared" si="45"/>
        <v>400000000</v>
      </c>
      <c r="X164" s="862">
        <f t="shared" si="46"/>
        <v>0</v>
      </c>
      <c r="Y164" s="862">
        <f t="shared" si="47"/>
        <v>400000000</v>
      </c>
    </row>
    <row r="165" spans="1:25" ht="32.1" customHeight="1">
      <c r="A165" s="863">
        <v>10</v>
      </c>
      <c r="B165" s="865" t="s">
        <v>908</v>
      </c>
      <c r="C165" s="861" t="s">
        <v>909</v>
      </c>
      <c r="D165" s="870" t="s">
        <v>825</v>
      </c>
      <c r="E165" s="863">
        <v>7004686</v>
      </c>
      <c r="F165" s="862"/>
      <c r="G165" s="862"/>
      <c r="H165" s="862"/>
      <c r="I165" s="862"/>
      <c r="J165" s="862"/>
      <c r="K165" s="862"/>
      <c r="L165" s="862"/>
      <c r="M165" s="862"/>
      <c r="N165" s="862"/>
      <c r="O165" s="862"/>
      <c r="P165" s="862"/>
      <c r="Q165" s="862">
        <v>360000000</v>
      </c>
      <c r="R165" s="862">
        <f t="shared" si="48"/>
        <v>360000000</v>
      </c>
      <c r="S165" s="862">
        <v>360000000</v>
      </c>
      <c r="T165" s="862"/>
      <c r="U165" s="862"/>
      <c r="V165" s="862">
        <f t="shared" ref="V165:V166" si="67">Q165-R165</f>
        <v>0</v>
      </c>
      <c r="W165" s="862">
        <f t="shared" si="45"/>
        <v>360000000</v>
      </c>
      <c r="X165" s="862">
        <f t="shared" si="46"/>
        <v>0</v>
      </c>
      <c r="Y165" s="862">
        <f t="shared" si="47"/>
        <v>360000000</v>
      </c>
    </row>
    <row r="166" spans="1:25" ht="42" customHeight="1">
      <c r="A166" s="863">
        <v>11</v>
      </c>
      <c r="B166" s="865" t="s">
        <v>910</v>
      </c>
      <c r="C166" s="861" t="s">
        <v>909</v>
      </c>
      <c r="D166" s="870" t="s">
        <v>825</v>
      </c>
      <c r="E166" s="863">
        <v>7004686</v>
      </c>
      <c r="F166" s="862"/>
      <c r="G166" s="862"/>
      <c r="H166" s="862"/>
      <c r="I166" s="862"/>
      <c r="J166" s="862"/>
      <c r="K166" s="862"/>
      <c r="L166" s="862"/>
      <c r="M166" s="862"/>
      <c r="N166" s="862"/>
      <c r="O166" s="862"/>
      <c r="P166" s="862"/>
      <c r="Q166" s="862">
        <v>486000000</v>
      </c>
      <c r="R166" s="862">
        <f t="shared" si="48"/>
        <v>485408000</v>
      </c>
      <c r="S166" s="862">
        <v>485408000</v>
      </c>
      <c r="T166" s="862"/>
      <c r="U166" s="862"/>
      <c r="V166" s="862">
        <f t="shared" si="67"/>
        <v>592000</v>
      </c>
      <c r="W166" s="862">
        <f t="shared" si="45"/>
        <v>485408000</v>
      </c>
      <c r="X166" s="862">
        <f t="shared" si="46"/>
        <v>0</v>
      </c>
      <c r="Y166" s="862">
        <f t="shared" si="47"/>
        <v>485408000</v>
      </c>
    </row>
    <row r="167" spans="1:25" ht="24.95" customHeight="1">
      <c r="A167" s="863">
        <v>12</v>
      </c>
      <c r="B167" s="865" t="s">
        <v>911</v>
      </c>
      <c r="C167" s="861" t="s">
        <v>840</v>
      </c>
      <c r="D167" s="870" t="s">
        <v>825</v>
      </c>
      <c r="E167" s="863">
        <v>7618682</v>
      </c>
      <c r="F167" s="862">
        <v>2703000000</v>
      </c>
      <c r="G167" s="862"/>
      <c r="H167" s="862"/>
      <c r="I167" s="862"/>
      <c r="J167" s="862"/>
      <c r="K167" s="862"/>
      <c r="L167" s="862"/>
      <c r="M167" s="862"/>
      <c r="N167" s="862"/>
      <c r="O167" s="862"/>
      <c r="P167" s="862"/>
      <c r="Q167" s="862">
        <v>150000000</v>
      </c>
      <c r="R167" s="862">
        <f t="shared" si="48"/>
        <v>150000000</v>
      </c>
      <c r="S167" s="862">
        <v>150000000</v>
      </c>
      <c r="T167" s="862"/>
      <c r="U167" s="862"/>
      <c r="V167" s="862"/>
      <c r="W167" s="862">
        <f t="shared" si="45"/>
        <v>150000000</v>
      </c>
      <c r="X167" s="862">
        <f t="shared" si="46"/>
        <v>0</v>
      </c>
      <c r="Y167" s="862">
        <f t="shared" si="47"/>
        <v>150000000</v>
      </c>
    </row>
    <row r="168" spans="1:25" ht="24.95" customHeight="1">
      <c r="A168" s="863">
        <v>13</v>
      </c>
      <c r="B168" s="865" t="s">
        <v>912</v>
      </c>
      <c r="C168" s="861" t="s">
        <v>840</v>
      </c>
      <c r="D168" s="870" t="s">
        <v>825</v>
      </c>
      <c r="E168" s="863">
        <v>7596633</v>
      </c>
      <c r="F168" s="862">
        <v>982000000</v>
      </c>
      <c r="G168" s="862"/>
      <c r="H168" s="862"/>
      <c r="I168" s="862"/>
      <c r="J168" s="862"/>
      <c r="K168" s="862"/>
      <c r="L168" s="862"/>
      <c r="M168" s="862"/>
      <c r="N168" s="862"/>
      <c r="O168" s="862"/>
      <c r="P168" s="862"/>
      <c r="Q168" s="862">
        <v>50000000</v>
      </c>
      <c r="R168" s="862">
        <f t="shared" si="48"/>
        <v>49542000</v>
      </c>
      <c r="S168" s="862"/>
      <c r="T168" s="862">
        <v>49542000</v>
      </c>
      <c r="U168" s="862"/>
      <c r="V168" s="862"/>
      <c r="W168" s="862">
        <f t="shared" si="45"/>
        <v>0</v>
      </c>
      <c r="X168" s="862">
        <f t="shared" si="46"/>
        <v>49542000</v>
      </c>
      <c r="Y168" s="862">
        <f t="shared" si="47"/>
        <v>49542000</v>
      </c>
    </row>
    <row r="169" spans="1:25" ht="24.95" customHeight="1">
      <c r="A169" s="863">
        <v>14</v>
      </c>
      <c r="B169" s="865" t="s">
        <v>913</v>
      </c>
      <c r="C169" s="861" t="s">
        <v>840</v>
      </c>
      <c r="D169" s="870" t="s">
        <v>825</v>
      </c>
      <c r="E169" s="863">
        <v>7536926</v>
      </c>
      <c r="F169" s="862">
        <v>2486000000</v>
      </c>
      <c r="G169" s="862"/>
      <c r="H169" s="862"/>
      <c r="I169" s="862"/>
      <c r="J169" s="862"/>
      <c r="K169" s="862"/>
      <c r="L169" s="862"/>
      <c r="M169" s="862"/>
      <c r="N169" s="862"/>
      <c r="O169" s="862"/>
      <c r="P169" s="862"/>
      <c r="Q169" s="862">
        <v>50000000</v>
      </c>
      <c r="R169" s="862">
        <f t="shared" si="48"/>
        <v>50000000</v>
      </c>
      <c r="S169" s="862">
        <v>50000000</v>
      </c>
      <c r="T169" s="862"/>
      <c r="U169" s="862"/>
      <c r="V169" s="862"/>
      <c r="W169" s="862">
        <f t="shared" si="45"/>
        <v>50000000</v>
      </c>
      <c r="X169" s="862">
        <f t="shared" si="46"/>
        <v>0</v>
      </c>
      <c r="Y169" s="862">
        <f t="shared" si="47"/>
        <v>50000000</v>
      </c>
    </row>
    <row r="170" spans="1:25" ht="24.95" customHeight="1">
      <c r="A170" s="863">
        <v>15</v>
      </c>
      <c r="B170" s="865" t="s">
        <v>914</v>
      </c>
      <c r="C170" s="861" t="s">
        <v>840</v>
      </c>
      <c r="D170" s="870" t="s">
        <v>825</v>
      </c>
      <c r="E170" s="863">
        <v>7536919</v>
      </c>
      <c r="F170" s="862">
        <v>2423000000</v>
      </c>
      <c r="G170" s="862"/>
      <c r="H170" s="862"/>
      <c r="I170" s="862"/>
      <c r="J170" s="862"/>
      <c r="K170" s="862"/>
      <c r="L170" s="862"/>
      <c r="M170" s="862"/>
      <c r="N170" s="862"/>
      <c r="O170" s="862"/>
      <c r="P170" s="862"/>
      <c r="Q170" s="862">
        <v>120000000</v>
      </c>
      <c r="R170" s="862">
        <f t="shared" si="48"/>
        <v>120000000</v>
      </c>
      <c r="S170" s="862">
        <v>120000000</v>
      </c>
      <c r="T170" s="862"/>
      <c r="U170" s="862"/>
      <c r="V170" s="862"/>
      <c r="W170" s="862">
        <f t="shared" si="45"/>
        <v>120000000</v>
      </c>
      <c r="X170" s="862">
        <f t="shared" si="46"/>
        <v>0</v>
      </c>
      <c r="Y170" s="862">
        <f t="shared" si="47"/>
        <v>120000000</v>
      </c>
    </row>
    <row r="171" spans="1:25" ht="24.95" customHeight="1">
      <c r="A171" s="863">
        <v>16</v>
      </c>
      <c r="B171" s="865" t="s">
        <v>915</v>
      </c>
      <c r="C171" s="861" t="s">
        <v>842</v>
      </c>
      <c r="D171" s="870" t="s">
        <v>825</v>
      </c>
      <c r="E171" s="863">
        <v>7619588</v>
      </c>
      <c r="F171" s="862">
        <v>13557000000</v>
      </c>
      <c r="G171" s="862"/>
      <c r="H171" s="862"/>
      <c r="I171" s="862"/>
      <c r="J171" s="862"/>
      <c r="K171" s="862"/>
      <c r="L171" s="862"/>
      <c r="M171" s="862"/>
      <c r="N171" s="862"/>
      <c r="O171" s="862"/>
      <c r="P171" s="862"/>
      <c r="Q171" s="862">
        <v>200000000</v>
      </c>
      <c r="R171" s="862">
        <f t="shared" si="48"/>
        <v>200000000</v>
      </c>
      <c r="S171" s="862">
        <v>200000000</v>
      </c>
      <c r="T171" s="862"/>
      <c r="U171" s="862"/>
      <c r="V171" s="862"/>
      <c r="W171" s="862">
        <f t="shared" si="45"/>
        <v>200000000</v>
      </c>
      <c r="X171" s="862">
        <f t="shared" si="46"/>
        <v>0</v>
      </c>
      <c r="Y171" s="862">
        <f t="shared" si="47"/>
        <v>200000000</v>
      </c>
    </row>
    <row r="172" spans="1:25" ht="24.95" customHeight="1">
      <c r="A172" s="863">
        <v>17</v>
      </c>
      <c r="B172" s="865" t="s">
        <v>916</v>
      </c>
      <c r="C172" s="861" t="s">
        <v>842</v>
      </c>
      <c r="D172" s="870" t="s">
        <v>825</v>
      </c>
      <c r="E172" s="863">
        <v>7619906</v>
      </c>
      <c r="F172" s="862">
        <v>14132000000</v>
      </c>
      <c r="G172" s="862"/>
      <c r="H172" s="862"/>
      <c r="I172" s="862"/>
      <c r="J172" s="862"/>
      <c r="K172" s="862"/>
      <c r="L172" s="862"/>
      <c r="M172" s="862"/>
      <c r="N172" s="862"/>
      <c r="O172" s="862"/>
      <c r="P172" s="862"/>
      <c r="Q172" s="862">
        <v>200000000</v>
      </c>
      <c r="R172" s="862">
        <f t="shared" si="48"/>
        <v>200000000</v>
      </c>
      <c r="S172" s="862">
        <v>200000000</v>
      </c>
      <c r="T172" s="862"/>
      <c r="U172" s="862"/>
      <c r="V172" s="862"/>
      <c r="W172" s="862">
        <f t="shared" si="45"/>
        <v>200000000</v>
      </c>
      <c r="X172" s="862">
        <f t="shared" si="46"/>
        <v>0</v>
      </c>
      <c r="Y172" s="862">
        <f t="shared" si="47"/>
        <v>200000000</v>
      </c>
    </row>
    <row r="173" spans="1:25" ht="24.95" customHeight="1">
      <c r="A173" s="863">
        <v>18</v>
      </c>
      <c r="B173" s="865" t="s">
        <v>917</v>
      </c>
      <c r="C173" s="861" t="s">
        <v>842</v>
      </c>
      <c r="D173" s="870" t="s">
        <v>825</v>
      </c>
      <c r="E173" s="863">
        <v>7334214</v>
      </c>
      <c r="F173" s="862">
        <v>1830000000</v>
      </c>
      <c r="G173" s="862">
        <v>200000000</v>
      </c>
      <c r="H173" s="862"/>
      <c r="I173" s="862"/>
      <c r="J173" s="862"/>
      <c r="K173" s="862"/>
      <c r="L173" s="862"/>
      <c r="M173" s="862"/>
      <c r="N173" s="862"/>
      <c r="O173" s="862"/>
      <c r="P173" s="862"/>
      <c r="Q173" s="862">
        <v>500000000</v>
      </c>
      <c r="R173" s="862">
        <f t="shared" si="48"/>
        <v>500000000</v>
      </c>
      <c r="S173" s="862">
        <v>500000000</v>
      </c>
      <c r="T173" s="862"/>
      <c r="U173" s="862"/>
      <c r="V173" s="862"/>
      <c r="W173" s="862">
        <f t="shared" si="45"/>
        <v>500000000</v>
      </c>
      <c r="X173" s="862">
        <f t="shared" si="46"/>
        <v>0</v>
      </c>
      <c r="Y173" s="862">
        <f t="shared" si="47"/>
        <v>700000000</v>
      </c>
    </row>
    <row r="174" spans="1:25" ht="24.95" customHeight="1">
      <c r="A174" s="863">
        <v>19</v>
      </c>
      <c r="B174" s="865" t="s">
        <v>918</v>
      </c>
      <c r="C174" s="861" t="s">
        <v>868</v>
      </c>
      <c r="D174" s="870" t="s">
        <v>825</v>
      </c>
      <c r="E174" s="863">
        <v>7635201</v>
      </c>
      <c r="F174" s="862">
        <v>9151000000</v>
      </c>
      <c r="G174" s="862"/>
      <c r="H174" s="862"/>
      <c r="I174" s="862"/>
      <c r="J174" s="862"/>
      <c r="K174" s="862"/>
      <c r="L174" s="862"/>
      <c r="M174" s="862"/>
      <c r="N174" s="862"/>
      <c r="O174" s="862"/>
      <c r="P174" s="862"/>
      <c r="Q174" s="862">
        <v>200000000</v>
      </c>
      <c r="R174" s="862">
        <f t="shared" si="48"/>
        <v>200000000</v>
      </c>
      <c r="S174" s="862">
        <v>200000000</v>
      </c>
      <c r="T174" s="862"/>
      <c r="U174" s="862"/>
      <c r="V174" s="862"/>
      <c r="W174" s="862">
        <f t="shared" si="45"/>
        <v>200000000</v>
      </c>
      <c r="X174" s="862">
        <f t="shared" si="46"/>
        <v>0</v>
      </c>
      <c r="Y174" s="862">
        <f t="shared" si="47"/>
        <v>200000000</v>
      </c>
    </row>
    <row r="175" spans="1:25" ht="32.1" customHeight="1">
      <c r="A175" s="863">
        <v>20</v>
      </c>
      <c r="B175" s="865" t="s">
        <v>919</v>
      </c>
      <c r="C175" s="861" t="s">
        <v>920</v>
      </c>
      <c r="D175" s="870" t="s">
        <v>825</v>
      </c>
      <c r="E175" s="863">
        <v>7599744</v>
      </c>
      <c r="F175" s="862">
        <v>75357000000</v>
      </c>
      <c r="G175" s="862"/>
      <c r="H175" s="862"/>
      <c r="I175" s="862"/>
      <c r="J175" s="862"/>
      <c r="K175" s="862"/>
      <c r="L175" s="862"/>
      <c r="M175" s="862"/>
      <c r="N175" s="862"/>
      <c r="O175" s="862"/>
      <c r="P175" s="862"/>
      <c r="Q175" s="862">
        <v>1200000000</v>
      </c>
      <c r="R175" s="862">
        <f t="shared" si="48"/>
        <v>1200000000</v>
      </c>
      <c r="S175" s="862">
        <v>1200000000</v>
      </c>
      <c r="T175" s="862"/>
      <c r="U175" s="862"/>
      <c r="V175" s="862"/>
      <c r="W175" s="862">
        <f t="shared" si="45"/>
        <v>1200000000</v>
      </c>
      <c r="X175" s="862">
        <f t="shared" si="46"/>
        <v>0</v>
      </c>
      <c r="Y175" s="862">
        <f t="shared" si="47"/>
        <v>1200000000</v>
      </c>
    </row>
    <row r="176" spans="1:25" ht="24.95" customHeight="1">
      <c r="A176" s="863">
        <v>21</v>
      </c>
      <c r="B176" s="865" t="s">
        <v>921</v>
      </c>
      <c r="C176" s="861" t="s">
        <v>824</v>
      </c>
      <c r="D176" s="870" t="s">
        <v>825</v>
      </c>
      <c r="E176" s="863">
        <v>7626030</v>
      </c>
      <c r="F176" s="862">
        <v>11250000000</v>
      </c>
      <c r="G176" s="862"/>
      <c r="H176" s="862"/>
      <c r="I176" s="862"/>
      <c r="J176" s="862"/>
      <c r="K176" s="862"/>
      <c r="L176" s="862"/>
      <c r="M176" s="862"/>
      <c r="N176" s="862"/>
      <c r="O176" s="862"/>
      <c r="P176" s="862"/>
      <c r="Q176" s="862">
        <v>576000000</v>
      </c>
      <c r="R176" s="862">
        <f t="shared" si="48"/>
        <v>575041000</v>
      </c>
      <c r="S176" s="862">
        <v>575041000</v>
      </c>
      <c r="T176" s="862"/>
      <c r="U176" s="862"/>
      <c r="V176" s="862"/>
      <c r="W176" s="862">
        <f t="shared" si="45"/>
        <v>575041000</v>
      </c>
      <c r="X176" s="862">
        <f t="shared" si="46"/>
        <v>0</v>
      </c>
      <c r="Y176" s="862">
        <f t="shared" si="47"/>
        <v>575041000</v>
      </c>
    </row>
    <row r="177" spans="1:25" ht="24.95" customHeight="1">
      <c r="A177" s="863">
        <v>22</v>
      </c>
      <c r="B177" s="865" t="s">
        <v>922</v>
      </c>
      <c r="C177" s="861" t="s">
        <v>829</v>
      </c>
      <c r="D177" s="870" t="s">
        <v>825</v>
      </c>
      <c r="E177" s="863">
        <v>7431665</v>
      </c>
      <c r="F177" s="862">
        <v>2245000000</v>
      </c>
      <c r="G177" s="862">
        <v>600000000</v>
      </c>
      <c r="H177" s="862"/>
      <c r="I177" s="862"/>
      <c r="J177" s="862"/>
      <c r="K177" s="862"/>
      <c r="L177" s="862"/>
      <c r="M177" s="862"/>
      <c r="N177" s="862"/>
      <c r="O177" s="862"/>
      <c r="P177" s="862"/>
      <c r="Q177" s="862">
        <v>500000000</v>
      </c>
      <c r="R177" s="862">
        <f t="shared" si="48"/>
        <v>500000000</v>
      </c>
      <c r="S177" s="862">
        <v>500000000</v>
      </c>
      <c r="T177" s="862"/>
      <c r="U177" s="862"/>
      <c r="V177" s="862"/>
      <c r="W177" s="862">
        <f t="shared" si="45"/>
        <v>500000000</v>
      </c>
      <c r="X177" s="862">
        <f t="shared" si="46"/>
        <v>0</v>
      </c>
      <c r="Y177" s="862">
        <f t="shared" si="47"/>
        <v>1100000000</v>
      </c>
    </row>
    <row r="178" spans="1:25" ht="24.95" customHeight="1">
      <c r="A178" s="863">
        <v>23</v>
      </c>
      <c r="B178" s="865" t="s">
        <v>923</v>
      </c>
      <c r="C178" s="861" t="s">
        <v>829</v>
      </c>
      <c r="D178" s="870" t="s">
        <v>825</v>
      </c>
      <c r="E178" s="863">
        <v>7233596</v>
      </c>
      <c r="F178" s="862">
        <v>1545000000</v>
      </c>
      <c r="G178" s="862">
        <v>800000000</v>
      </c>
      <c r="H178" s="862"/>
      <c r="I178" s="862"/>
      <c r="J178" s="862"/>
      <c r="K178" s="862"/>
      <c r="L178" s="862"/>
      <c r="M178" s="862"/>
      <c r="N178" s="862"/>
      <c r="O178" s="862"/>
      <c r="P178" s="862"/>
      <c r="Q178" s="862">
        <v>300000000</v>
      </c>
      <c r="R178" s="862">
        <f t="shared" si="48"/>
        <v>300000000</v>
      </c>
      <c r="S178" s="862">
        <v>300000000</v>
      </c>
      <c r="T178" s="862"/>
      <c r="U178" s="862"/>
      <c r="V178" s="862"/>
      <c r="W178" s="862">
        <f t="shared" si="45"/>
        <v>300000000</v>
      </c>
      <c r="X178" s="862">
        <f t="shared" si="46"/>
        <v>0</v>
      </c>
      <c r="Y178" s="862">
        <f t="shared" si="47"/>
        <v>1100000000</v>
      </c>
    </row>
    <row r="179" spans="1:25" ht="24.95" customHeight="1">
      <c r="A179" s="863">
        <v>24</v>
      </c>
      <c r="B179" s="865" t="s">
        <v>924</v>
      </c>
      <c r="C179" s="861" t="s">
        <v>829</v>
      </c>
      <c r="D179" s="870" t="s">
        <v>825</v>
      </c>
      <c r="E179" s="863">
        <v>7261802</v>
      </c>
      <c r="F179" s="862">
        <v>1596000000</v>
      </c>
      <c r="G179" s="862">
        <v>750000000</v>
      </c>
      <c r="H179" s="862"/>
      <c r="I179" s="862"/>
      <c r="J179" s="862"/>
      <c r="K179" s="862"/>
      <c r="L179" s="862"/>
      <c r="M179" s="862"/>
      <c r="N179" s="862"/>
      <c r="O179" s="862"/>
      <c r="P179" s="862"/>
      <c r="Q179" s="862">
        <v>200000000</v>
      </c>
      <c r="R179" s="862">
        <f t="shared" si="48"/>
        <v>200000000</v>
      </c>
      <c r="S179" s="862">
        <v>200000000</v>
      </c>
      <c r="T179" s="862"/>
      <c r="U179" s="862"/>
      <c r="V179" s="862"/>
      <c r="W179" s="862">
        <f t="shared" si="45"/>
        <v>200000000</v>
      </c>
      <c r="X179" s="862">
        <f t="shared" si="46"/>
        <v>0</v>
      </c>
      <c r="Y179" s="862">
        <f t="shared" si="47"/>
        <v>950000000</v>
      </c>
    </row>
    <row r="180" spans="1:25" ht="24.95" customHeight="1">
      <c r="A180" s="863">
        <v>25</v>
      </c>
      <c r="B180" s="865" t="s">
        <v>925</v>
      </c>
      <c r="C180" s="861" t="s">
        <v>829</v>
      </c>
      <c r="D180" s="870" t="s">
        <v>825</v>
      </c>
      <c r="E180" s="863">
        <v>7240597</v>
      </c>
      <c r="F180" s="862">
        <v>996236000000</v>
      </c>
      <c r="G180" s="862">
        <v>3532902000</v>
      </c>
      <c r="H180" s="862"/>
      <c r="I180" s="862"/>
      <c r="J180" s="862"/>
      <c r="K180" s="862"/>
      <c r="L180" s="862"/>
      <c r="M180" s="862"/>
      <c r="N180" s="862"/>
      <c r="O180" s="862"/>
      <c r="P180" s="862"/>
      <c r="Q180" s="862">
        <v>800000000</v>
      </c>
      <c r="R180" s="862">
        <f t="shared" si="48"/>
        <v>800000000</v>
      </c>
      <c r="S180" s="862">
        <v>800000000</v>
      </c>
      <c r="T180" s="862"/>
      <c r="U180" s="862"/>
      <c r="V180" s="862"/>
      <c r="W180" s="862">
        <f t="shared" si="45"/>
        <v>800000000</v>
      </c>
      <c r="X180" s="862">
        <f t="shared" si="46"/>
        <v>0</v>
      </c>
      <c r="Y180" s="862">
        <f t="shared" si="47"/>
        <v>4332902000</v>
      </c>
    </row>
    <row r="181" spans="1:25" ht="24.95" customHeight="1">
      <c r="A181" s="863">
        <v>26</v>
      </c>
      <c r="B181" s="865" t="s">
        <v>926</v>
      </c>
      <c r="C181" s="861" t="s">
        <v>829</v>
      </c>
      <c r="D181" s="870" t="s">
        <v>825</v>
      </c>
      <c r="E181" s="863">
        <v>7304411</v>
      </c>
      <c r="F181" s="862">
        <v>1392000000</v>
      </c>
      <c r="G181" s="862">
        <v>575493000</v>
      </c>
      <c r="H181" s="862"/>
      <c r="I181" s="862"/>
      <c r="J181" s="862"/>
      <c r="K181" s="862"/>
      <c r="L181" s="862"/>
      <c r="M181" s="862"/>
      <c r="N181" s="862"/>
      <c r="O181" s="862"/>
      <c r="P181" s="862"/>
      <c r="Q181" s="862">
        <v>200000000</v>
      </c>
      <c r="R181" s="862">
        <f t="shared" si="48"/>
        <v>200000000</v>
      </c>
      <c r="S181" s="862">
        <v>200000000</v>
      </c>
      <c r="T181" s="862"/>
      <c r="U181" s="862"/>
      <c r="V181" s="862"/>
      <c r="W181" s="862">
        <f t="shared" si="45"/>
        <v>200000000</v>
      </c>
      <c r="X181" s="862">
        <f t="shared" si="46"/>
        <v>0</v>
      </c>
      <c r="Y181" s="862">
        <f t="shared" si="47"/>
        <v>775493000</v>
      </c>
    </row>
    <row r="182" spans="1:25" ht="24.95" customHeight="1">
      <c r="A182" s="863">
        <v>27</v>
      </c>
      <c r="B182" s="865" t="s">
        <v>927</v>
      </c>
      <c r="C182" s="861" t="s">
        <v>928</v>
      </c>
      <c r="D182" s="870" t="s">
        <v>825</v>
      </c>
      <c r="E182" s="863">
        <v>7609566</v>
      </c>
      <c r="F182" s="862">
        <v>851000000</v>
      </c>
      <c r="G182" s="862"/>
      <c r="H182" s="862"/>
      <c r="I182" s="862"/>
      <c r="J182" s="862"/>
      <c r="K182" s="862"/>
      <c r="L182" s="862"/>
      <c r="M182" s="862"/>
      <c r="N182" s="862"/>
      <c r="O182" s="862"/>
      <c r="P182" s="862"/>
      <c r="Q182" s="862">
        <v>400000000</v>
      </c>
      <c r="R182" s="862">
        <f t="shared" si="48"/>
        <v>400000000</v>
      </c>
      <c r="S182" s="862">
        <v>20846000</v>
      </c>
      <c r="T182" s="862">
        <v>379154000</v>
      </c>
      <c r="U182" s="862"/>
      <c r="V182" s="862"/>
      <c r="W182" s="862">
        <f t="shared" si="45"/>
        <v>20846000</v>
      </c>
      <c r="X182" s="862">
        <f t="shared" si="46"/>
        <v>379154000</v>
      </c>
      <c r="Y182" s="862">
        <f t="shared" si="47"/>
        <v>400000000</v>
      </c>
    </row>
    <row r="183" spans="1:25" s="514" customFormat="1" ht="15" customHeight="1">
      <c r="A183" s="888"/>
      <c r="B183" s="928" t="s">
        <v>929</v>
      </c>
      <c r="C183" s="890"/>
      <c r="D183" s="888"/>
      <c r="E183" s="888"/>
      <c r="F183" s="891">
        <f t="shared" ref="F183:Y183" si="68">F184+F208</f>
        <v>5349121000000</v>
      </c>
      <c r="G183" s="891">
        <f t="shared" si="68"/>
        <v>2109217289771</v>
      </c>
      <c r="H183" s="891">
        <f t="shared" si="68"/>
        <v>0</v>
      </c>
      <c r="I183" s="891">
        <f t="shared" si="68"/>
        <v>0</v>
      </c>
      <c r="J183" s="891">
        <f t="shared" si="68"/>
        <v>0</v>
      </c>
      <c r="K183" s="891">
        <f t="shared" si="68"/>
        <v>0</v>
      </c>
      <c r="L183" s="891">
        <f t="shared" si="68"/>
        <v>0</v>
      </c>
      <c r="M183" s="891">
        <f t="shared" si="68"/>
        <v>0</v>
      </c>
      <c r="N183" s="891">
        <f t="shared" si="68"/>
        <v>0</v>
      </c>
      <c r="O183" s="891">
        <f t="shared" si="68"/>
        <v>0</v>
      </c>
      <c r="P183" s="891">
        <f t="shared" si="68"/>
        <v>0</v>
      </c>
      <c r="Q183" s="891">
        <f t="shared" si="68"/>
        <v>600661000000</v>
      </c>
      <c r="R183" s="891">
        <f t="shared" si="68"/>
        <v>551371848229</v>
      </c>
      <c r="S183" s="891">
        <f t="shared" si="68"/>
        <v>466910189614</v>
      </c>
      <c r="T183" s="891">
        <f t="shared" si="68"/>
        <v>84461658615</v>
      </c>
      <c r="U183" s="891">
        <f t="shared" si="68"/>
        <v>0</v>
      </c>
      <c r="V183" s="891">
        <f t="shared" si="68"/>
        <v>0</v>
      </c>
      <c r="W183" s="891">
        <f>W184+W208</f>
        <v>466910189614</v>
      </c>
      <c r="X183" s="891">
        <f t="shared" si="68"/>
        <v>84461658615</v>
      </c>
      <c r="Y183" s="891">
        <f t="shared" si="68"/>
        <v>2660589138000</v>
      </c>
    </row>
    <row r="184" spans="1:25" s="512" customFormat="1" ht="15" customHeight="1">
      <c r="A184" s="929"/>
      <c r="B184" s="930" t="s">
        <v>930</v>
      </c>
      <c r="C184" s="931"/>
      <c r="D184" s="870"/>
      <c r="E184" s="932"/>
      <c r="F184" s="862">
        <v>0</v>
      </c>
      <c r="G184" s="862"/>
      <c r="H184" s="886"/>
      <c r="I184" s="886"/>
      <c r="J184" s="886"/>
      <c r="K184" s="886"/>
      <c r="L184" s="886"/>
      <c r="M184" s="886"/>
      <c r="N184" s="886"/>
      <c r="O184" s="886"/>
      <c r="P184" s="886"/>
      <c r="Q184" s="891">
        <f>SUM(Q185:Q207)</f>
        <v>45357000000</v>
      </c>
      <c r="R184" s="886"/>
      <c r="S184" s="886"/>
      <c r="T184" s="886"/>
      <c r="U184" s="886"/>
      <c r="V184" s="886"/>
      <c r="W184" s="862">
        <f t="shared" ref="W184:W245" si="69">J184+M184+S184</f>
        <v>0</v>
      </c>
      <c r="X184" s="862">
        <f t="shared" ref="X184:X245" si="70">H184-I184-J184+N184+T184</f>
        <v>0</v>
      </c>
      <c r="Y184" s="862">
        <f t="shared" ref="Y184:Y245" si="71">G184+L184+R184</f>
        <v>0</v>
      </c>
    </row>
    <row r="185" spans="1:25" ht="24.95" customHeight="1">
      <c r="A185" s="898">
        <v>1</v>
      </c>
      <c r="B185" s="865" t="s">
        <v>576</v>
      </c>
      <c r="C185" s="919" t="s">
        <v>931</v>
      </c>
      <c r="D185" s="870"/>
      <c r="E185" s="863"/>
      <c r="F185" s="862">
        <v>0</v>
      </c>
      <c r="G185" s="862"/>
      <c r="H185" s="862"/>
      <c r="I185" s="862"/>
      <c r="J185" s="862"/>
      <c r="K185" s="862"/>
      <c r="L185" s="862"/>
      <c r="M185" s="862"/>
      <c r="N185" s="862"/>
      <c r="O185" s="862"/>
      <c r="P185" s="862"/>
      <c r="Q185" s="862">
        <v>1000000000</v>
      </c>
      <c r="R185" s="862">
        <f t="shared" ref="R185:R207" si="72">SUM(S185:T185)</f>
        <v>0</v>
      </c>
      <c r="S185" s="862"/>
      <c r="T185" s="862"/>
      <c r="U185" s="862"/>
      <c r="V185" s="862"/>
      <c r="W185" s="862">
        <f t="shared" si="69"/>
        <v>0</v>
      </c>
      <c r="X185" s="862">
        <f t="shared" si="70"/>
        <v>0</v>
      </c>
      <c r="Y185" s="862">
        <f t="shared" si="71"/>
        <v>0</v>
      </c>
    </row>
    <row r="186" spans="1:25" ht="51.95" customHeight="1">
      <c r="A186" s="898">
        <v>2</v>
      </c>
      <c r="B186" s="865" t="s">
        <v>932</v>
      </c>
      <c r="C186" s="919" t="s">
        <v>933</v>
      </c>
      <c r="D186" s="870"/>
      <c r="E186" s="863"/>
      <c r="F186" s="862">
        <v>0</v>
      </c>
      <c r="G186" s="862"/>
      <c r="H186" s="862"/>
      <c r="I186" s="862"/>
      <c r="J186" s="862"/>
      <c r="K186" s="862"/>
      <c r="L186" s="862"/>
      <c r="M186" s="862"/>
      <c r="N186" s="862"/>
      <c r="O186" s="862"/>
      <c r="P186" s="862"/>
      <c r="Q186" s="862">
        <v>167000000</v>
      </c>
      <c r="R186" s="862">
        <f t="shared" si="72"/>
        <v>0</v>
      </c>
      <c r="S186" s="862"/>
      <c r="T186" s="862"/>
      <c r="U186" s="862"/>
      <c r="V186" s="862"/>
      <c r="W186" s="862">
        <f t="shared" si="69"/>
        <v>0</v>
      </c>
      <c r="X186" s="862">
        <f t="shared" si="70"/>
        <v>0</v>
      </c>
      <c r="Y186" s="862">
        <f t="shared" si="71"/>
        <v>0</v>
      </c>
    </row>
    <row r="187" spans="1:25" ht="24.95" customHeight="1">
      <c r="A187" s="898">
        <v>3</v>
      </c>
      <c r="B187" s="899" t="s">
        <v>934</v>
      </c>
      <c r="C187" s="919" t="s">
        <v>935</v>
      </c>
      <c r="D187" s="870"/>
      <c r="E187" s="898">
        <v>7506861</v>
      </c>
      <c r="F187" s="862">
        <v>0</v>
      </c>
      <c r="G187" s="862"/>
      <c r="H187" s="862"/>
      <c r="I187" s="862"/>
      <c r="J187" s="862"/>
      <c r="K187" s="862"/>
      <c r="L187" s="862"/>
      <c r="M187" s="862"/>
      <c r="N187" s="862"/>
      <c r="O187" s="862"/>
      <c r="P187" s="862"/>
      <c r="Q187" s="862">
        <v>1300000000</v>
      </c>
      <c r="R187" s="862">
        <f t="shared" si="72"/>
        <v>0</v>
      </c>
      <c r="S187" s="862"/>
      <c r="T187" s="862"/>
      <c r="U187" s="862"/>
      <c r="V187" s="862"/>
      <c r="W187" s="862">
        <f t="shared" si="69"/>
        <v>0</v>
      </c>
      <c r="X187" s="862">
        <f t="shared" si="70"/>
        <v>0</v>
      </c>
      <c r="Y187" s="862">
        <f t="shared" si="71"/>
        <v>0</v>
      </c>
    </row>
    <row r="188" spans="1:25" ht="32.1" customHeight="1">
      <c r="A188" s="898">
        <v>4</v>
      </c>
      <c r="B188" s="899" t="s">
        <v>936</v>
      </c>
      <c r="C188" s="919" t="s">
        <v>935</v>
      </c>
      <c r="D188" s="870"/>
      <c r="E188" s="898">
        <v>7614616</v>
      </c>
      <c r="F188" s="862">
        <v>0</v>
      </c>
      <c r="G188" s="862"/>
      <c r="H188" s="862"/>
      <c r="I188" s="862"/>
      <c r="J188" s="862"/>
      <c r="K188" s="862"/>
      <c r="L188" s="862"/>
      <c r="M188" s="862"/>
      <c r="N188" s="862"/>
      <c r="O188" s="862"/>
      <c r="P188" s="862"/>
      <c r="Q188" s="862">
        <v>1000000000</v>
      </c>
      <c r="R188" s="862">
        <f t="shared" si="72"/>
        <v>0</v>
      </c>
      <c r="S188" s="862"/>
      <c r="T188" s="862"/>
      <c r="U188" s="862"/>
      <c r="V188" s="862"/>
      <c r="W188" s="862">
        <f t="shared" si="69"/>
        <v>0</v>
      </c>
      <c r="X188" s="862">
        <f t="shared" si="70"/>
        <v>0</v>
      </c>
      <c r="Y188" s="862">
        <f t="shared" si="71"/>
        <v>0</v>
      </c>
    </row>
    <row r="189" spans="1:25" ht="32.1" customHeight="1">
      <c r="A189" s="898">
        <v>5</v>
      </c>
      <c r="B189" s="899" t="s">
        <v>937</v>
      </c>
      <c r="C189" s="919" t="s">
        <v>938</v>
      </c>
      <c r="D189" s="870"/>
      <c r="E189" s="898">
        <v>7596792</v>
      </c>
      <c r="F189" s="862">
        <v>0</v>
      </c>
      <c r="G189" s="862"/>
      <c r="H189" s="862"/>
      <c r="I189" s="862"/>
      <c r="J189" s="862"/>
      <c r="K189" s="862"/>
      <c r="L189" s="862"/>
      <c r="M189" s="862"/>
      <c r="N189" s="862"/>
      <c r="O189" s="862"/>
      <c r="P189" s="862"/>
      <c r="Q189" s="862">
        <v>4000000000</v>
      </c>
      <c r="R189" s="862">
        <f t="shared" si="72"/>
        <v>0</v>
      </c>
      <c r="S189" s="862"/>
      <c r="T189" s="862"/>
      <c r="U189" s="862"/>
      <c r="V189" s="862"/>
      <c r="W189" s="862">
        <f t="shared" si="69"/>
        <v>0</v>
      </c>
      <c r="X189" s="862">
        <f t="shared" si="70"/>
        <v>0</v>
      </c>
      <c r="Y189" s="862">
        <f t="shared" si="71"/>
        <v>0</v>
      </c>
    </row>
    <row r="190" spans="1:25" ht="24.95" customHeight="1">
      <c r="A190" s="898">
        <v>6</v>
      </c>
      <c r="B190" s="899" t="s">
        <v>939</v>
      </c>
      <c r="C190" s="919" t="s">
        <v>940</v>
      </c>
      <c r="D190" s="870"/>
      <c r="E190" s="898">
        <v>7578854</v>
      </c>
      <c r="F190" s="862">
        <v>0</v>
      </c>
      <c r="G190" s="862"/>
      <c r="H190" s="862"/>
      <c r="I190" s="862"/>
      <c r="J190" s="862"/>
      <c r="K190" s="862"/>
      <c r="L190" s="862"/>
      <c r="M190" s="862"/>
      <c r="N190" s="862"/>
      <c r="O190" s="862"/>
      <c r="P190" s="862"/>
      <c r="Q190" s="862">
        <v>2600000000</v>
      </c>
      <c r="R190" s="862">
        <f t="shared" si="72"/>
        <v>0</v>
      </c>
      <c r="S190" s="862"/>
      <c r="T190" s="862"/>
      <c r="U190" s="862"/>
      <c r="V190" s="862"/>
      <c r="W190" s="862">
        <f t="shared" si="69"/>
        <v>0</v>
      </c>
      <c r="X190" s="862">
        <f t="shared" si="70"/>
        <v>0</v>
      </c>
      <c r="Y190" s="862">
        <f t="shared" si="71"/>
        <v>0</v>
      </c>
    </row>
    <row r="191" spans="1:25" ht="24.95" customHeight="1">
      <c r="A191" s="898">
        <v>7</v>
      </c>
      <c r="B191" s="899" t="s">
        <v>1457</v>
      </c>
      <c r="C191" s="919" t="s">
        <v>941</v>
      </c>
      <c r="D191" s="870"/>
      <c r="E191" s="898">
        <v>7616454</v>
      </c>
      <c r="F191" s="862">
        <v>0</v>
      </c>
      <c r="G191" s="862"/>
      <c r="H191" s="862"/>
      <c r="I191" s="862"/>
      <c r="J191" s="862"/>
      <c r="K191" s="862"/>
      <c r="L191" s="862"/>
      <c r="M191" s="862"/>
      <c r="N191" s="862"/>
      <c r="O191" s="862"/>
      <c r="P191" s="862"/>
      <c r="Q191" s="862">
        <v>5300000000</v>
      </c>
      <c r="R191" s="862">
        <f t="shared" si="72"/>
        <v>0</v>
      </c>
      <c r="S191" s="862"/>
      <c r="T191" s="862"/>
      <c r="U191" s="862"/>
      <c r="V191" s="862"/>
      <c r="W191" s="862">
        <f t="shared" si="69"/>
        <v>0</v>
      </c>
      <c r="X191" s="862">
        <f t="shared" si="70"/>
        <v>0</v>
      </c>
      <c r="Y191" s="862">
        <f t="shared" si="71"/>
        <v>0</v>
      </c>
    </row>
    <row r="192" spans="1:25" ht="24.95" customHeight="1">
      <c r="A192" s="898">
        <v>8</v>
      </c>
      <c r="B192" s="899" t="s">
        <v>942</v>
      </c>
      <c r="C192" s="919" t="s">
        <v>943</v>
      </c>
      <c r="D192" s="870"/>
      <c r="E192" s="898"/>
      <c r="F192" s="862">
        <v>0</v>
      </c>
      <c r="G192" s="862"/>
      <c r="H192" s="862"/>
      <c r="I192" s="862"/>
      <c r="J192" s="862"/>
      <c r="K192" s="862"/>
      <c r="L192" s="862"/>
      <c r="M192" s="862"/>
      <c r="N192" s="862"/>
      <c r="O192" s="862"/>
      <c r="P192" s="862"/>
      <c r="Q192" s="862">
        <v>2000000000</v>
      </c>
      <c r="R192" s="862">
        <f t="shared" si="72"/>
        <v>0</v>
      </c>
      <c r="S192" s="862"/>
      <c r="T192" s="862"/>
      <c r="U192" s="862"/>
      <c r="V192" s="862"/>
      <c r="W192" s="862">
        <f t="shared" si="69"/>
        <v>0</v>
      </c>
      <c r="X192" s="862">
        <f t="shared" si="70"/>
        <v>0</v>
      </c>
      <c r="Y192" s="862">
        <f t="shared" si="71"/>
        <v>0</v>
      </c>
    </row>
    <row r="193" spans="1:25" ht="24.95" customHeight="1">
      <c r="A193" s="898">
        <v>9</v>
      </c>
      <c r="B193" s="899" t="s">
        <v>944</v>
      </c>
      <c r="C193" s="919" t="s">
        <v>931</v>
      </c>
      <c r="D193" s="870"/>
      <c r="E193" s="898"/>
      <c r="F193" s="862">
        <v>0</v>
      </c>
      <c r="G193" s="862"/>
      <c r="H193" s="862"/>
      <c r="I193" s="862"/>
      <c r="J193" s="862"/>
      <c r="K193" s="862"/>
      <c r="L193" s="862"/>
      <c r="M193" s="862"/>
      <c r="N193" s="862"/>
      <c r="O193" s="862"/>
      <c r="P193" s="862"/>
      <c r="Q193" s="862">
        <v>2000000000</v>
      </c>
      <c r="R193" s="862">
        <f t="shared" si="72"/>
        <v>0</v>
      </c>
      <c r="S193" s="862"/>
      <c r="T193" s="862"/>
      <c r="U193" s="862"/>
      <c r="V193" s="862"/>
      <c r="W193" s="862">
        <f t="shared" si="69"/>
        <v>0</v>
      </c>
      <c r="X193" s="862">
        <f t="shared" si="70"/>
        <v>0</v>
      </c>
      <c r="Y193" s="862">
        <f t="shared" si="71"/>
        <v>0</v>
      </c>
    </row>
    <row r="194" spans="1:25" ht="24.95" customHeight="1">
      <c r="A194" s="898">
        <v>10</v>
      </c>
      <c r="B194" s="899" t="s">
        <v>945</v>
      </c>
      <c r="C194" s="919" t="s">
        <v>946</v>
      </c>
      <c r="D194" s="870"/>
      <c r="E194" s="898">
        <v>7635774</v>
      </c>
      <c r="F194" s="862">
        <v>0</v>
      </c>
      <c r="G194" s="862"/>
      <c r="H194" s="862"/>
      <c r="I194" s="862"/>
      <c r="J194" s="862"/>
      <c r="K194" s="862"/>
      <c r="L194" s="862"/>
      <c r="M194" s="862"/>
      <c r="N194" s="862"/>
      <c r="O194" s="862"/>
      <c r="P194" s="862"/>
      <c r="Q194" s="862">
        <v>2000000000</v>
      </c>
      <c r="R194" s="862">
        <f t="shared" si="72"/>
        <v>0</v>
      </c>
      <c r="S194" s="862"/>
      <c r="T194" s="862"/>
      <c r="U194" s="862"/>
      <c r="V194" s="862"/>
      <c r="W194" s="862">
        <f t="shared" si="69"/>
        <v>0</v>
      </c>
      <c r="X194" s="862">
        <f t="shared" si="70"/>
        <v>0</v>
      </c>
      <c r="Y194" s="862">
        <f t="shared" si="71"/>
        <v>0</v>
      </c>
    </row>
    <row r="195" spans="1:25" ht="24.95" customHeight="1">
      <c r="A195" s="898">
        <v>11</v>
      </c>
      <c r="B195" s="899" t="s">
        <v>947</v>
      </c>
      <c r="C195" s="861" t="s">
        <v>948</v>
      </c>
      <c r="D195" s="870"/>
      <c r="E195" s="898">
        <v>7596498</v>
      </c>
      <c r="F195" s="862">
        <v>0</v>
      </c>
      <c r="G195" s="862"/>
      <c r="H195" s="862"/>
      <c r="I195" s="862"/>
      <c r="J195" s="862"/>
      <c r="K195" s="862"/>
      <c r="L195" s="862"/>
      <c r="M195" s="862"/>
      <c r="N195" s="862"/>
      <c r="O195" s="862"/>
      <c r="P195" s="862"/>
      <c r="Q195" s="862">
        <v>2000000000</v>
      </c>
      <c r="R195" s="862">
        <f t="shared" si="72"/>
        <v>0</v>
      </c>
      <c r="S195" s="862"/>
      <c r="T195" s="862"/>
      <c r="U195" s="862"/>
      <c r="V195" s="862"/>
      <c r="W195" s="862">
        <f t="shared" si="69"/>
        <v>0</v>
      </c>
      <c r="X195" s="862">
        <f t="shared" si="70"/>
        <v>0</v>
      </c>
      <c r="Y195" s="862">
        <f t="shared" si="71"/>
        <v>0</v>
      </c>
    </row>
    <row r="196" spans="1:25" ht="24.95" customHeight="1">
      <c r="A196" s="898">
        <v>12</v>
      </c>
      <c r="B196" s="899" t="s">
        <v>949</v>
      </c>
      <c r="C196" s="861" t="s">
        <v>948</v>
      </c>
      <c r="D196" s="870"/>
      <c r="E196" s="898">
        <v>7596790</v>
      </c>
      <c r="F196" s="862">
        <v>0</v>
      </c>
      <c r="G196" s="862"/>
      <c r="H196" s="862"/>
      <c r="I196" s="862"/>
      <c r="J196" s="862"/>
      <c r="K196" s="862"/>
      <c r="L196" s="862"/>
      <c r="M196" s="862"/>
      <c r="N196" s="862"/>
      <c r="O196" s="862"/>
      <c r="P196" s="862"/>
      <c r="Q196" s="862">
        <v>2000000000</v>
      </c>
      <c r="R196" s="862">
        <f t="shared" si="72"/>
        <v>0</v>
      </c>
      <c r="S196" s="862"/>
      <c r="T196" s="862"/>
      <c r="U196" s="862"/>
      <c r="V196" s="862"/>
      <c r="W196" s="862">
        <f t="shared" si="69"/>
        <v>0</v>
      </c>
      <c r="X196" s="862">
        <f t="shared" si="70"/>
        <v>0</v>
      </c>
      <c r="Y196" s="862">
        <f t="shared" si="71"/>
        <v>0</v>
      </c>
    </row>
    <row r="197" spans="1:25" ht="24.95" customHeight="1">
      <c r="A197" s="898">
        <v>13</v>
      </c>
      <c r="B197" s="899" t="s">
        <v>581</v>
      </c>
      <c r="C197" s="919" t="s">
        <v>931</v>
      </c>
      <c r="D197" s="870"/>
      <c r="E197" s="898">
        <v>7565238</v>
      </c>
      <c r="F197" s="862">
        <v>0</v>
      </c>
      <c r="G197" s="862"/>
      <c r="H197" s="862"/>
      <c r="I197" s="862"/>
      <c r="J197" s="862"/>
      <c r="K197" s="862"/>
      <c r="L197" s="862"/>
      <c r="M197" s="862"/>
      <c r="N197" s="862"/>
      <c r="O197" s="862"/>
      <c r="P197" s="862"/>
      <c r="Q197" s="862">
        <v>653000000</v>
      </c>
      <c r="R197" s="862">
        <f t="shared" si="72"/>
        <v>0</v>
      </c>
      <c r="S197" s="862"/>
      <c r="T197" s="862"/>
      <c r="U197" s="862"/>
      <c r="V197" s="862"/>
      <c r="W197" s="862">
        <f t="shared" si="69"/>
        <v>0</v>
      </c>
      <c r="X197" s="862">
        <f t="shared" si="70"/>
        <v>0</v>
      </c>
      <c r="Y197" s="862">
        <f t="shared" si="71"/>
        <v>0</v>
      </c>
    </row>
    <row r="198" spans="1:25" ht="42" customHeight="1">
      <c r="A198" s="898">
        <v>14</v>
      </c>
      <c r="B198" s="899" t="s">
        <v>1458</v>
      </c>
      <c r="C198" s="919" t="s">
        <v>950</v>
      </c>
      <c r="D198" s="870"/>
      <c r="E198" s="898">
        <v>7592422</v>
      </c>
      <c r="F198" s="862">
        <v>0</v>
      </c>
      <c r="G198" s="862"/>
      <c r="H198" s="862"/>
      <c r="I198" s="862"/>
      <c r="J198" s="862"/>
      <c r="K198" s="862"/>
      <c r="L198" s="862"/>
      <c r="M198" s="862"/>
      <c r="N198" s="862"/>
      <c r="O198" s="862"/>
      <c r="P198" s="862"/>
      <c r="Q198" s="862">
        <v>3337000000</v>
      </c>
      <c r="R198" s="862">
        <f t="shared" si="72"/>
        <v>0</v>
      </c>
      <c r="S198" s="862"/>
      <c r="T198" s="862"/>
      <c r="U198" s="862"/>
      <c r="V198" s="862"/>
      <c r="W198" s="862">
        <f t="shared" si="69"/>
        <v>0</v>
      </c>
      <c r="X198" s="862">
        <f t="shared" si="70"/>
        <v>0</v>
      </c>
      <c r="Y198" s="862">
        <f t="shared" si="71"/>
        <v>0</v>
      </c>
    </row>
    <row r="199" spans="1:25" ht="32.1" customHeight="1">
      <c r="A199" s="898">
        <v>15</v>
      </c>
      <c r="B199" s="899" t="s">
        <v>951</v>
      </c>
      <c r="C199" s="919" t="s">
        <v>952</v>
      </c>
      <c r="D199" s="870"/>
      <c r="E199" s="898">
        <v>7595769</v>
      </c>
      <c r="F199" s="862">
        <v>0</v>
      </c>
      <c r="G199" s="862"/>
      <c r="H199" s="862"/>
      <c r="I199" s="862"/>
      <c r="J199" s="862"/>
      <c r="K199" s="862"/>
      <c r="L199" s="862"/>
      <c r="M199" s="862"/>
      <c r="N199" s="862"/>
      <c r="O199" s="862"/>
      <c r="P199" s="862"/>
      <c r="Q199" s="862">
        <v>1000000000</v>
      </c>
      <c r="R199" s="862">
        <f t="shared" si="72"/>
        <v>0</v>
      </c>
      <c r="S199" s="862"/>
      <c r="T199" s="862"/>
      <c r="U199" s="862"/>
      <c r="V199" s="862"/>
      <c r="W199" s="862">
        <f t="shared" si="69"/>
        <v>0</v>
      </c>
      <c r="X199" s="862">
        <f t="shared" si="70"/>
        <v>0</v>
      </c>
      <c r="Y199" s="862">
        <f t="shared" si="71"/>
        <v>0</v>
      </c>
    </row>
    <row r="200" spans="1:25" ht="42" customHeight="1">
      <c r="A200" s="898">
        <v>16</v>
      </c>
      <c r="B200" s="899" t="s">
        <v>953</v>
      </c>
      <c r="C200" s="919" t="s">
        <v>954</v>
      </c>
      <c r="D200" s="870"/>
      <c r="E200" s="898" t="s">
        <v>955</v>
      </c>
      <c r="F200" s="862">
        <v>0</v>
      </c>
      <c r="G200" s="862"/>
      <c r="H200" s="862"/>
      <c r="I200" s="862"/>
      <c r="J200" s="862"/>
      <c r="K200" s="862"/>
      <c r="L200" s="862"/>
      <c r="M200" s="862"/>
      <c r="N200" s="862"/>
      <c r="O200" s="862"/>
      <c r="P200" s="862"/>
      <c r="Q200" s="862">
        <v>1500000000</v>
      </c>
      <c r="R200" s="862">
        <f t="shared" si="72"/>
        <v>0</v>
      </c>
      <c r="S200" s="862"/>
      <c r="T200" s="862"/>
      <c r="U200" s="862"/>
      <c r="V200" s="862"/>
      <c r="W200" s="862">
        <f t="shared" si="69"/>
        <v>0</v>
      </c>
      <c r="X200" s="862">
        <f t="shared" si="70"/>
        <v>0</v>
      </c>
      <c r="Y200" s="862">
        <f t="shared" si="71"/>
        <v>0</v>
      </c>
    </row>
    <row r="201" spans="1:25" ht="32.1" customHeight="1">
      <c r="A201" s="898">
        <v>17</v>
      </c>
      <c r="B201" s="899" t="s">
        <v>956</v>
      </c>
      <c r="C201" s="919" t="s">
        <v>957</v>
      </c>
      <c r="D201" s="870"/>
      <c r="E201" s="898"/>
      <c r="F201" s="862">
        <v>0</v>
      </c>
      <c r="G201" s="862"/>
      <c r="H201" s="862"/>
      <c r="I201" s="862"/>
      <c r="J201" s="862"/>
      <c r="K201" s="862"/>
      <c r="L201" s="862"/>
      <c r="M201" s="862"/>
      <c r="N201" s="862"/>
      <c r="O201" s="862"/>
      <c r="P201" s="862"/>
      <c r="Q201" s="862">
        <v>2000000000</v>
      </c>
      <c r="R201" s="862">
        <f t="shared" si="72"/>
        <v>0</v>
      </c>
      <c r="S201" s="862"/>
      <c r="T201" s="862"/>
      <c r="U201" s="862"/>
      <c r="V201" s="862"/>
      <c r="W201" s="862">
        <f t="shared" si="69"/>
        <v>0</v>
      </c>
      <c r="X201" s="862">
        <f t="shared" si="70"/>
        <v>0</v>
      </c>
      <c r="Y201" s="862">
        <f t="shared" si="71"/>
        <v>0</v>
      </c>
    </row>
    <row r="202" spans="1:25" ht="32.1" customHeight="1">
      <c r="A202" s="898">
        <v>18</v>
      </c>
      <c r="B202" s="899" t="s">
        <v>958</v>
      </c>
      <c r="C202" s="919" t="s">
        <v>959</v>
      </c>
      <c r="D202" s="870"/>
      <c r="E202" s="898"/>
      <c r="F202" s="862">
        <v>0</v>
      </c>
      <c r="G202" s="862"/>
      <c r="H202" s="862"/>
      <c r="I202" s="862"/>
      <c r="J202" s="862"/>
      <c r="K202" s="862"/>
      <c r="L202" s="862"/>
      <c r="M202" s="862"/>
      <c r="N202" s="862"/>
      <c r="O202" s="862"/>
      <c r="P202" s="862"/>
      <c r="Q202" s="862">
        <v>2000000000</v>
      </c>
      <c r="R202" s="862">
        <f t="shared" si="72"/>
        <v>0</v>
      </c>
      <c r="S202" s="862"/>
      <c r="T202" s="862"/>
      <c r="U202" s="862"/>
      <c r="V202" s="862"/>
      <c r="W202" s="862">
        <f t="shared" si="69"/>
        <v>0</v>
      </c>
      <c r="X202" s="862">
        <f t="shared" si="70"/>
        <v>0</v>
      </c>
      <c r="Y202" s="862">
        <f t="shared" si="71"/>
        <v>0</v>
      </c>
    </row>
    <row r="203" spans="1:25" ht="32.1" customHeight="1">
      <c r="A203" s="898">
        <v>19</v>
      </c>
      <c r="B203" s="899" t="s">
        <v>960</v>
      </c>
      <c r="C203" s="919" t="s">
        <v>961</v>
      </c>
      <c r="D203" s="870"/>
      <c r="E203" s="898"/>
      <c r="F203" s="862">
        <v>0</v>
      </c>
      <c r="G203" s="862"/>
      <c r="H203" s="862"/>
      <c r="I203" s="862"/>
      <c r="J203" s="862"/>
      <c r="K203" s="862"/>
      <c r="L203" s="862"/>
      <c r="M203" s="862"/>
      <c r="N203" s="862"/>
      <c r="O203" s="862"/>
      <c r="P203" s="862"/>
      <c r="Q203" s="862">
        <v>1200000000</v>
      </c>
      <c r="R203" s="862">
        <f t="shared" si="72"/>
        <v>0</v>
      </c>
      <c r="S203" s="862"/>
      <c r="T203" s="862"/>
      <c r="U203" s="862"/>
      <c r="V203" s="862"/>
      <c r="W203" s="862">
        <f t="shared" si="69"/>
        <v>0</v>
      </c>
      <c r="X203" s="862">
        <f t="shared" si="70"/>
        <v>0</v>
      </c>
      <c r="Y203" s="862">
        <f t="shared" si="71"/>
        <v>0</v>
      </c>
    </row>
    <row r="204" spans="1:25" ht="32.1" customHeight="1">
      <c r="A204" s="898">
        <v>20</v>
      </c>
      <c r="B204" s="899" t="s">
        <v>962</v>
      </c>
      <c r="C204" s="919" t="s">
        <v>963</v>
      </c>
      <c r="D204" s="870"/>
      <c r="E204" s="898"/>
      <c r="F204" s="862">
        <v>0</v>
      </c>
      <c r="G204" s="862"/>
      <c r="H204" s="862"/>
      <c r="I204" s="862"/>
      <c r="J204" s="862"/>
      <c r="K204" s="862"/>
      <c r="L204" s="862"/>
      <c r="M204" s="862"/>
      <c r="N204" s="862"/>
      <c r="O204" s="862"/>
      <c r="P204" s="862"/>
      <c r="Q204" s="862">
        <v>1500000000</v>
      </c>
      <c r="R204" s="862">
        <f t="shared" si="72"/>
        <v>0</v>
      </c>
      <c r="S204" s="862"/>
      <c r="T204" s="862"/>
      <c r="U204" s="862"/>
      <c r="V204" s="862"/>
      <c r="W204" s="862">
        <f t="shared" si="69"/>
        <v>0</v>
      </c>
      <c r="X204" s="862">
        <f t="shared" si="70"/>
        <v>0</v>
      </c>
      <c r="Y204" s="862">
        <f t="shared" si="71"/>
        <v>0</v>
      </c>
    </row>
    <row r="205" spans="1:25" ht="32.1" customHeight="1">
      <c r="A205" s="898">
        <v>21</v>
      </c>
      <c r="B205" s="899" t="s">
        <v>964</v>
      </c>
      <c r="C205" s="919" t="s">
        <v>965</v>
      </c>
      <c r="D205" s="870"/>
      <c r="E205" s="898"/>
      <c r="F205" s="862">
        <v>0</v>
      </c>
      <c r="G205" s="862"/>
      <c r="H205" s="862"/>
      <c r="I205" s="862"/>
      <c r="J205" s="862"/>
      <c r="K205" s="862"/>
      <c r="L205" s="862"/>
      <c r="M205" s="862"/>
      <c r="N205" s="862"/>
      <c r="O205" s="862"/>
      <c r="P205" s="862"/>
      <c r="Q205" s="862">
        <v>800000000</v>
      </c>
      <c r="R205" s="862">
        <f t="shared" si="72"/>
        <v>0</v>
      </c>
      <c r="S205" s="862"/>
      <c r="T205" s="862"/>
      <c r="U205" s="862"/>
      <c r="V205" s="862"/>
      <c r="W205" s="862">
        <f t="shared" si="69"/>
        <v>0</v>
      </c>
      <c r="X205" s="862">
        <f t="shared" si="70"/>
        <v>0</v>
      </c>
      <c r="Y205" s="862">
        <f t="shared" si="71"/>
        <v>0</v>
      </c>
    </row>
    <row r="206" spans="1:25" ht="32.1" customHeight="1">
      <c r="A206" s="898">
        <v>22</v>
      </c>
      <c r="B206" s="899" t="s">
        <v>966</v>
      </c>
      <c r="C206" s="919" t="s">
        <v>967</v>
      </c>
      <c r="D206" s="870"/>
      <c r="E206" s="898"/>
      <c r="F206" s="862">
        <v>0</v>
      </c>
      <c r="G206" s="862"/>
      <c r="H206" s="862"/>
      <c r="I206" s="862"/>
      <c r="J206" s="862"/>
      <c r="K206" s="862"/>
      <c r="L206" s="862"/>
      <c r="M206" s="862"/>
      <c r="N206" s="862"/>
      <c r="O206" s="862"/>
      <c r="P206" s="862"/>
      <c r="Q206" s="862">
        <v>3000000000</v>
      </c>
      <c r="R206" s="862">
        <f t="shared" si="72"/>
        <v>0</v>
      </c>
      <c r="S206" s="862"/>
      <c r="T206" s="862"/>
      <c r="U206" s="862"/>
      <c r="V206" s="862"/>
      <c r="W206" s="862">
        <f t="shared" si="69"/>
        <v>0</v>
      </c>
      <c r="X206" s="862">
        <f t="shared" si="70"/>
        <v>0</v>
      </c>
      <c r="Y206" s="862">
        <f t="shared" si="71"/>
        <v>0</v>
      </c>
    </row>
    <row r="207" spans="1:25" ht="42" customHeight="1">
      <c r="A207" s="898">
        <v>23</v>
      </c>
      <c r="B207" s="899" t="s">
        <v>968</v>
      </c>
      <c r="C207" s="919" t="s">
        <v>969</v>
      </c>
      <c r="D207" s="870"/>
      <c r="E207" s="898"/>
      <c r="F207" s="862">
        <v>0</v>
      </c>
      <c r="G207" s="862"/>
      <c r="H207" s="862"/>
      <c r="I207" s="862"/>
      <c r="J207" s="862"/>
      <c r="K207" s="862"/>
      <c r="L207" s="862"/>
      <c r="M207" s="862"/>
      <c r="N207" s="862"/>
      <c r="O207" s="862"/>
      <c r="P207" s="862"/>
      <c r="Q207" s="862">
        <v>3000000000</v>
      </c>
      <c r="R207" s="862">
        <f t="shared" si="72"/>
        <v>0</v>
      </c>
      <c r="S207" s="862"/>
      <c r="T207" s="862"/>
      <c r="U207" s="862"/>
      <c r="V207" s="862"/>
      <c r="W207" s="862">
        <f t="shared" si="69"/>
        <v>0</v>
      </c>
      <c r="X207" s="862">
        <f t="shared" si="70"/>
        <v>0</v>
      </c>
      <c r="Y207" s="862">
        <f t="shared" si="71"/>
        <v>0</v>
      </c>
    </row>
    <row r="208" spans="1:25" s="512" customFormat="1" ht="15" customHeight="1">
      <c r="A208" s="929"/>
      <c r="B208" s="933" t="s">
        <v>970</v>
      </c>
      <c r="C208" s="934"/>
      <c r="D208" s="870"/>
      <c r="E208" s="929"/>
      <c r="F208" s="891">
        <f>F209+F231+F246+F263+F305+F330</f>
        <v>5349121000000</v>
      </c>
      <c r="G208" s="891">
        <f>G209+G231+G246+G263+G305+G330</f>
        <v>2109217289771</v>
      </c>
      <c r="H208" s="891">
        <f t="shared" ref="H208:Y208" si="73">H209+H231+H246+H263+H305+H330</f>
        <v>0</v>
      </c>
      <c r="I208" s="891">
        <f t="shared" si="73"/>
        <v>0</v>
      </c>
      <c r="J208" s="891">
        <f t="shared" si="73"/>
        <v>0</v>
      </c>
      <c r="K208" s="891">
        <f t="shared" si="73"/>
        <v>0</v>
      </c>
      <c r="L208" s="891">
        <f t="shared" si="73"/>
        <v>0</v>
      </c>
      <c r="M208" s="891">
        <f t="shared" si="73"/>
        <v>0</v>
      </c>
      <c r="N208" s="891">
        <f t="shared" si="73"/>
        <v>0</v>
      </c>
      <c r="O208" s="891">
        <f t="shared" si="73"/>
        <v>0</v>
      </c>
      <c r="P208" s="891">
        <f t="shared" si="73"/>
        <v>0</v>
      </c>
      <c r="Q208" s="891">
        <f t="shared" si="73"/>
        <v>555304000000</v>
      </c>
      <c r="R208" s="891">
        <f t="shared" si="73"/>
        <v>551371848229</v>
      </c>
      <c r="S208" s="891">
        <f t="shared" si="73"/>
        <v>466910189614</v>
      </c>
      <c r="T208" s="891">
        <f t="shared" si="73"/>
        <v>84461658615</v>
      </c>
      <c r="U208" s="891">
        <f t="shared" si="73"/>
        <v>0</v>
      </c>
      <c r="V208" s="891">
        <f t="shared" si="73"/>
        <v>0</v>
      </c>
      <c r="W208" s="891">
        <f>W209+W231+W246+W263+W305+W330</f>
        <v>466910189614</v>
      </c>
      <c r="X208" s="891">
        <f t="shared" si="73"/>
        <v>84461658615</v>
      </c>
      <c r="Y208" s="891">
        <f t="shared" si="73"/>
        <v>2660589138000</v>
      </c>
    </row>
    <row r="209" spans="1:25" ht="15" customHeight="1">
      <c r="A209" s="912" t="s">
        <v>51</v>
      </c>
      <c r="B209" s="916" t="s">
        <v>971</v>
      </c>
      <c r="C209" s="917"/>
      <c r="D209" s="870"/>
      <c r="E209" s="912"/>
      <c r="F209" s="884">
        <f>F210+F228</f>
        <v>1394703000000</v>
      </c>
      <c r="G209" s="884">
        <f>G210+G228</f>
        <v>856032045906</v>
      </c>
      <c r="H209" s="884">
        <f t="shared" ref="H209:Y209" si="74">H210+H228</f>
        <v>0</v>
      </c>
      <c r="I209" s="884">
        <f t="shared" si="74"/>
        <v>0</v>
      </c>
      <c r="J209" s="884">
        <f t="shared" si="74"/>
        <v>0</v>
      </c>
      <c r="K209" s="884">
        <f t="shared" si="74"/>
        <v>0</v>
      </c>
      <c r="L209" s="884">
        <f t="shared" si="74"/>
        <v>0</v>
      </c>
      <c r="M209" s="884">
        <f t="shared" si="74"/>
        <v>0</v>
      </c>
      <c r="N209" s="884">
        <f t="shared" si="74"/>
        <v>0</v>
      </c>
      <c r="O209" s="884">
        <f t="shared" si="74"/>
        <v>0</v>
      </c>
      <c r="P209" s="884">
        <f t="shared" si="74"/>
        <v>0</v>
      </c>
      <c r="Q209" s="884">
        <f t="shared" si="74"/>
        <v>121089000000</v>
      </c>
      <c r="R209" s="884">
        <f t="shared" si="74"/>
        <v>121045918735</v>
      </c>
      <c r="S209" s="884">
        <f t="shared" si="74"/>
        <v>84806749510</v>
      </c>
      <c r="T209" s="884">
        <f t="shared" si="74"/>
        <v>36239169225</v>
      </c>
      <c r="U209" s="884">
        <f t="shared" si="74"/>
        <v>0</v>
      </c>
      <c r="V209" s="884">
        <f t="shared" si="74"/>
        <v>0</v>
      </c>
      <c r="W209" s="884">
        <f>W210+W228</f>
        <v>84806749510</v>
      </c>
      <c r="X209" s="884">
        <f t="shared" si="74"/>
        <v>36239169225</v>
      </c>
      <c r="Y209" s="884">
        <f t="shared" si="74"/>
        <v>977077964641</v>
      </c>
    </row>
    <row r="210" spans="1:25" ht="15" customHeight="1">
      <c r="A210" s="901" t="s">
        <v>108</v>
      </c>
      <c r="B210" s="902" t="s">
        <v>5</v>
      </c>
      <c r="C210" s="903"/>
      <c r="D210" s="870"/>
      <c r="E210" s="901"/>
      <c r="F210" s="886">
        <f>SUM(F211:F221)</f>
        <v>1379696000000</v>
      </c>
      <c r="G210" s="886">
        <f>SUM(G211:G221)</f>
        <v>855511016906</v>
      </c>
      <c r="H210" s="886">
        <f t="shared" ref="H210:Y210" si="75">SUM(H211:H221)</f>
        <v>0</v>
      </c>
      <c r="I210" s="886">
        <f t="shared" si="75"/>
        <v>0</v>
      </c>
      <c r="J210" s="886">
        <f t="shared" si="75"/>
        <v>0</v>
      </c>
      <c r="K210" s="886">
        <f t="shared" si="75"/>
        <v>0</v>
      </c>
      <c r="L210" s="886">
        <f t="shared" si="75"/>
        <v>0</v>
      </c>
      <c r="M210" s="886">
        <f t="shared" si="75"/>
        <v>0</v>
      </c>
      <c r="N210" s="886">
        <f t="shared" si="75"/>
        <v>0</v>
      </c>
      <c r="O210" s="886">
        <f t="shared" si="75"/>
        <v>0</v>
      </c>
      <c r="P210" s="886">
        <f t="shared" si="75"/>
        <v>0</v>
      </c>
      <c r="Q210" s="886">
        <f t="shared" si="75"/>
        <v>110134000000</v>
      </c>
      <c r="R210" s="886">
        <f t="shared" si="75"/>
        <v>110113560735</v>
      </c>
      <c r="S210" s="886">
        <f t="shared" si="75"/>
        <v>76018641510</v>
      </c>
      <c r="T210" s="886">
        <f t="shared" si="75"/>
        <v>34094919225</v>
      </c>
      <c r="U210" s="886">
        <f t="shared" si="75"/>
        <v>0</v>
      </c>
      <c r="V210" s="886">
        <f t="shared" si="75"/>
        <v>0</v>
      </c>
      <c r="W210" s="886">
        <f>SUM(W211:W221)</f>
        <v>76018641510</v>
      </c>
      <c r="X210" s="886">
        <f t="shared" si="75"/>
        <v>34094919225</v>
      </c>
      <c r="Y210" s="886">
        <f t="shared" si="75"/>
        <v>965624577641</v>
      </c>
    </row>
    <row r="211" spans="1:25" ht="24.95" customHeight="1">
      <c r="A211" s="898">
        <v>1</v>
      </c>
      <c r="B211" s="899" t="s">
        <v>561</v>
      </c>
      <c r="C211" s="919" t="s">
        <v>840</v>
      </c>
      <c r="D211" s="870" t="s">
        <v>825</v>
      </c>
      <c r="E211" s="898">
        <v>7146174</v>
      </c>
      <c r="F211" s="862">
        <v>167540000000</v>
      </c>
      <c r="G211" s="862">
        <v>95272253807</v>
      </c>
      <c r="H211" s="862"/>
      <c r="I211" s="862"/>
      <c r="J211" s="862"/>
      <c r="K211" s="862"/>
      <c r="L211" s="862"/>
      <c r="M211" s="862"/>
      <c r="N211" s="862"/>
      <c r="O211" s="862"/>
      <c r="P211" s="862"/>
      <c r="Q211" s="862">
        <v>35638000000</v>
      </c>
      <c r="R211" s="862">
        <f>SUM(S211:T211)</f>
        <v>35637999759</v>
      </c>
      <c r="S211" s="862">
        <v>13824221867</v>
      </c>
      <c r="T211" s="862">
        <v>21813777892</v>
      </c>
      <c r="U211" s="862"/>
      <c r="V211" s="862"/>
      <c r="W211" s="862">
        <f t="shared" si="69"/>
        <v>13824221867</v>
      </c>
      <c r="X211" s="862">
        <f t="shared" si="70"/>
        <v>21813777892</v>
      </c>
      <c r="Y211" s="862">
        <f t="shared" si="71"/>
        <v>130910253566</v>
      </c>
    </row>
    <row r="212" spans="1:25" ht="15" customHeight="1">
      <c r="A212" s="898">
        <v>2</v>
      </c>
      <c r="B212" s="899" t="s">
        <v>562</v>
      </c>
      <c r="C212" s="919" t="s">
        <v>840</v>
      </c>
      <c r="D212" s="870" t="s">
        <v>825</v>
      </c>
      <c r="E212" s="898">
        <v>7440795</v>
      </c>
      <c r="F212" s="862">
        <v>30476000000</v>
      </c>
      <c r="G212" s="862">
        <v>24744903000</v>
      </c>
      <c r="H212" s="862"/>
      <c r="I212" s="862"/>
      <c r="J212" s="862"/>
      <c r="K212" s="862"/>
      <c r="L212" s="862"/>
      <c r="M212" s="862"/>
      <c r="N212" s="862"/>
      <c r="O212" s="862"/>
      <c r="P212" s="862"/>
      <c r="Q212" s="862">
        <v>5210000000</v>
      </c>
      <c r="R212" s="862">
        <f t="shared" ref="R212:R262" si="76">SUM(S212:T212)</f>
        <v>5207498000</v>
      </c>
      <c r="S212" s="862">
        <v>5207498000</v>
      </c>
      <c r="T212" s="862">
        <v>0</v>
      </c>
      <c r="U212" s="862"/>
      <c r="V212" s="862"/>
      <c r="W212" s="862">
        <f t="shared" si="69"/>
        <v>5207498000</v>
      </c>
      <c r="X212" s="862">
        <f t="shared" si="70"/>
        <v>0</v>
      </c>
      <c r="Y212" s="862">
        <f t="shared" si="71"/>
        <v>29952401000</v>
      </c>
    </row>
    <row r="213" spans="1:25" ht="15" customHeight="1">
      <c r="A213" s="898">
        <v>3</v>
      </c>
      <c r="B213" s="899" t="s">
        <v>563</v>
      </c>
      <c r="C213" s="919" t="s">
        <v>840</v>
      </c>
      <c r="D213" s="870" t="s">
        <v>825</v>
      </c>
      <c r="E213" s="898">
        <v>7498318</v>
      </c>
      <c r="F213" s="862">
        <v>26293000000</v>
      </c>
      <c r="G213" s="862">
        <v>7511290000</v>
      </c>
      <c r="H213" s="862"/>
      <c r="I213" s="862"/>
      <c r="J213" s="862"/>
      <c r="K213" s="862"/>
      <c r="L213" s="862"/>
      <c r="M213" s="862"/>
      <c r="N213" s="862"/>
      <c r="O213" s="862"/>
      <c r="P213" s="862"/>
      <c r="Q213" s="862">
        <v>1235000000</v>
      </c>
      <c r="R213" s="862">
        <f t="shared" si="76"/>
        <v>1235000000</v>
      </c>
      <c r="S213" s="862">
        <v>762998667</v>
      </c>
      <c r="T213" s="862">
        <v>472001333</v>
      </c>
      <c r="U213" s="862"/>
      <c r="V213" s="862"/>
      <c r="W213" s="862">
        <f t="shared" si="69"/>
        <v>762998667</v>
      </c>
      <c r="X213" s="862">
        <f t="shared" si="70"/>
        <v>472001333</v>
      </c>
      <c r="Y213" s="862">
        <f t="shared" si="71"/>
        <v>8746290000</v>
      </c>
    </row>
    <row r="214" spans="1:25" ht="15" customHeight="1">
      <c r="A214" s="898">
        <v>4</v>
      </c>
      <c r="B214" s="899" t="s">
        <v>565</v>
      </c>
      <c r="C214" s="919" t="s">
        <v>840</v>
      </c>
      <c r="D214" s="870" t="s">
        <v>825</v>
      </c>
      <c r="E214" s="898">
        <v>7539811</v>
      </c>
      <c r="F214" s="862">
        <v>13044000000</v>
      </c>
      <c r="G214" s="862">
        <v>5000000000</v>
      </c>
      <c r="H214" s="862"/>
      <c r="I214" s="862"/>
      <c r="J214" s="862"/>
      <c r="K214" s="862"/>
      <c r="L214" s="862"/>
      <c r="M214" s="862"/>
      <c r="N214" s="862"/>
      <c r="O214" s="862"/>
      <c r="P214" s="862"/>
      <c r="Q214" s="862">
        <v>6300000000</v>
      </c>
      <c r="R214" s="862">
        <f t="shared" si="76"/>
        <v>6297786000</v>
      </c>
      <c r="S214" s="862">
        <v>6297786000</v>
      </c>
      <c r="T214" s="862">
        <v>0</v>
      </c>
      <c r="U214" s="862"/>
      <c r="V214" s="862"/>
      <c r="W214" s="862">
        <f t="shared" si="69"/>
        <v>6297786000</v>
      </c>
      <c r="X214" s="862">
        <f t="shared" si="70"/>
        <v>0</v>
      </c>
      <c r="Y214" s="862">
        <f t="shared" si="71"/>
        <v>11297786000</v>
      </c>
    </row>
    <row r="215" spans="1:25" ht="24.95" customHeight="1">
      <c r="A215" s="898">
        <v>5</v>
      </c>
      <c r="B215" s="899" t="s">
        <v>566</v>
      </c>
      <c r="C215" s="919" t="s">
        <v>840</v>
      </c>
      <c r="D215" s="870" t="s">
        <v>825</v>
      </c>
      <c r="E215" s="898">
        <v>7538654</v>
      </c>
      <c r="F215" s="862">
        <v>13896000000</v>
      </c>
      <c r="G215" s="862">
        <v>5500000000</v>
      </c>
      <c r="H215" s="862"/>
      <c r="I215" s="862"/>
      <c r="J215" s="862"/>
      <c r="K215" s="862"/>
      <c r="L215" s="862"/>
      <c r="M215" s="862"/>
      <c r="N215" s="862"/>
      <c r="O215" s="862"/>
      <c r="P215" s="862"/>
      <c r="Q215" s="862">
        <v>6300000000</v>
      </c>
      <c r="R215" s="862">
        <f t="shared" si="76"/>
        <v>6285642000</v>
      </c>
      <c r="S215" s="862">
        <f>6299672000-14030000</f>
        <v>6285642000</v>
      </c>
      <c r="T215" s="862">
        <v>0</v>
      </c>
      <c r="U215" s="862"/>
      <c r="V215" s="862"/>
      <c r="W215" s="862">
        <f t="shared" si="69"/>
        <v>6285642000</v>
      </c>
      <c r="X215" s="862">
        <f t="shared" si="70"/>
        <v>0</v>
      </c>
      <c r="Y215" s="862">
        <f t="shared" si="71"/>
        <v>11785642000</v>
      </c>
    </row>
    <row r="216" spans="1:25" ht="32.1" customHeight="1">
      <c r="A216" s="898">
        <v>6</v>
      </c>
      <c r="B216" s="899" t="s">
        <v>972</v>
      </c>
      <c r="C216" s="919" t="s">
        <v>840</v>
      </c>
      <c r="D216" s="870" t="s">
        <v>825</v>
      </c>
      <c r="E216" s="898">
        <v>7541537</v>
      </c>
      <c r="F216" s="862">
        <v>67383000000</v>
      </c>
      <c r="G216" s="862">
        <v>1324366000</v>
      </c>
      <c r="H216" s="862"/>
      <c r="I216" s="862"/>
      <c r="J216" s="862"/>
      <c r="K216" s="862"/>
      <c r="L216" s="862"/>
      <c r="M216" s="862"/>
      <c r="N216" s="862"/>
      <c r="O216" s="862"/>
      <c r="P216" s="862"/>
      <c r="Q216" s="862">
        <v>17000000000</v>
      </c>
      <c r="R216" s="862">
        <f t="shared" si="76"/>
        <v>16999712000</v>
      </c>
      <c r="S216" s="862">
        <v>5373712000</v>
      </c>
      <c r="T216" s="862">
        <v>11626000000</v>
      </c>
      <c r="U216" s="862"/>
      <c r="V216" s="862"/>
      <c r="W216" s="862">
        <f t="shared" si="69"/>
        <v>5373712000</v>
      </c>
      <c r="X216" s="862">
        <f t="shared" si="70"/>
        <v>11626000000</v>
      </c>
      <c r="Y216" s="862">
        <f t="shared" si="71"/>
        <v>18324078000</v>
      </c>
    </row>
    <row r="217" spans="1:25" ht="32.1" customHeight="1">
      <c r="A217" s="898">
        <v>7</v>
      </c>
      <c r="B217" s="899" t="s">
        <v>973</v>
      </c>
      <c r="C217" s="919" t="s">
        <v>974</v>
      </c>
      <c r="D217" s="870" t="s">
        <v>825</v>
      </c>
      <c r="E217" s="898">
        <v>7580551</v>
      </c>
      <c r="F217" s="862">
        <v>13988000000</v>
      </c>
      <c r="G217" s="862">
        <v>9814054418</v>
      </c>
      <c r="H217" s="862"/>
      <c r="I217" s="862"/>
      <c r="J217" s="862"/>
      <c r="K217" s="862"/>
      <c r="L217" s="862"/>
      <c r="M217" s="862"/>
      <c r="N217" s="862"/>
      <c r="O217" s="862"/>
      <c r="P217" s="862"/>
      <c r="Q217" s="862">
        <v>9308000000</v>
      </c>
      <c r="R217" s="862">
        <f t="shared" si="76"/>
        <v>9307285488</v>
      </c>
      <c r="S217" s="862">
        <v>9307285488</v>
      </c>
      <c r="T217" s="862">
        <v>0</v>
      </c>
      <c r="U217" s="862"/>
      <c r="V217" s="862"/>
      <c r="W217" s="862">
        <f t="shared" si="69"/>
        <v>9307285488</v>
      </c>
      <c r="X217" s="862">
        <f t="shared" si="70"/>
        <v>0</v>
      </c>
      <c r="Y217" s="862">
        <f t="shared" si="71"/>
        <v>19121339906</v>
      </c>
    </row>
    <row r="218" spans="1:25" ht="15" customHeight="1">
      <c r="A218" s="898">
        <v>8</v>
      </c>
      <c r="B218" s="899" t="s">
        <v>975</v>
      </c>
      <c r="C218" s="919" t="s">
        <v>875</v>
      </c>
      <c r="D218" s="870" t="s">
        <v>825</v>
      </c>
      <c r="E218" s="898">
        <v>7025175</v>
      </c>
      <c r="F218" s="862">
        <v>133663000000</v>
      </c>
      <c r="G218" s="862">
        <v>124378279547</v>
      </c>
      <c r="H218" s="862"/>
      <c r="I218" s="862"/>
      <c r="J218" s="862"/>
      <c r="K218" s="862"/>
      <c r="L218" s="862"/>
      <c r="M218" s="862"/>
      <c r="N218" s="862"/>
      <c r="O218" s="862"/>
      <c r="P218" s="862"/>
      <c r="Q218" s="862">
        <v>6000000000</v>
      </c>
      <c r="R218" s="862">
        <f t="shared" si="76"/>
        <v>6000000000</v>
      </c>
      <c r="S218" s="862">
        <v>6000000000</v>
      </c>
      <c r="T218" s="862">
        <v>0</v>
      </c>
      <c r="U218" s="862"/>
      <c r="V218" s="862"/>
      <c r="W218" s="862">
        <f t="shared" si="69"/>
        <v>6000000000</v>
      </c>
      <c r="X218" s="862">
        <f t="shared" si="70"/>
        <v>0</v>
      </c>
      <c r="Y218" s="862">
        <f t="shared" si="71"/>
        <v>130378279547</v>
      </c>
    </row>
    <row r="219" spans="1:25" ht="24.95" customHeight="1">
      <c r="A219" s="898">
        <v>9</v>
      </c>
      <c r="B219" s="899" t="s">
        <v>630</v>
      </c>
      <c r="C219" s="919" t="s">
        <v>848</v>
      </c>
      <c r="D219" s="870" t="s">
        <v>825</v>
      </c>
      <c r="E219" s="898">
        <v>7003533</v>
      </c>
      <c r="F219" s="862">
        <v>208175000000</v>
      </c>
      <c r="G219" s="862">
        <v>168387501600</v>
      </c>
      <c r="H219" s="862"/>
      <c r="I219" s="862"/>
      <c r="J219" s="862"/>
      <c r="K219" s="862"/>
      <c r="L219" s="862"/>
      <c r="M219" s="862"/>
      <c r="N219" s="862"/>
      <c r="O219" s="862"/>
      <c r="P219" s="862"/>
      <c r="Q219" s="862">
        <v>2323000000</v>
      </c>
      <c r="R219" s="862">
        <f t="shared" si="76"/>
        <v>2323000000</v>
      </c>
      <c r="S219" s="862">
        <v>2323000000</v>
      </c>
      <c r="T219" s="862">
        <v>0</v>
      </c>
      <c r="U219" s="862"/>
      <c r="V219" s="862"/>
      <c r="W219" s="862">
        <f t="shared" si="69"/>
        <v>2323000000</v>
      </c>
      <c r="X219" s="862">
        <f t="shared" si="70"/>
        <v>0</v>
      </c>
      <c r="Y219" s="862">
        <f t="shared" si="71"/>
        <v>170710501600</v>
      </c>
    </row>
    <row r="220" spans="1:25" ht="15" customHeight="1">
      <c r="A220" s="898">
        <v>10</v>
      </c>
      <c r="B220" s="899" t="s">
        <v>976</v>
      </c>
      <c r="C220" s="919" t="s">
        <v>840</v>
      </c>
      <c r="D220" s="870" t="s">
        <v>825</v>
      </c>
      <c r="E220" s="898">
        <v>7182289</v>
      </c>
      <c r="F220" s="862">
        <v>659937000000</v>
      </c>
      <c r="G220" s="862">
        <v>412105840773</v>
      </c>
      <c r="H220" s="862"/>
      <c r="I220" s="862"/>
      <c r="J220" s="862"/>
      <c r="K220" s="862"/>
      <c r="L220" s="862"/>
      <c r="M220" s="862"/>
      <c r="N220" s="862"/>
      <c r="O220" s="862"/>
      <c r="P220" s="862"/>
      <c r="Q220" s="862">
        <v>20000000000</v>
      </c>
      <c r="R220" s="862">
        <f t="shared" si="76"/>
        <v>20000000000</v>
      </c>
      <c r="S220" s="862">
        <v>20000000000</v>
      </c>
      <c r="T220" s="862">
        <v>0</v>
      </c>
      <c r="U220" s="862"/>
      <c r="V220" s="862"/>
      <c r="W220" s="862">
        <f>J220+M220+S220</f>
        <v>20000000000</v>
      </c>
      <c r="X220" s="862">
        <f t="shared" si="70"/>
        <v>0</v>
      </c>
      <c r="Y220" s="862">
        <f t="shared" si="71"/>
        <v>432105840773</v>
      </c>
    </row>
    <row r="221" spans="1:25" ht="32.1" customHeight="1">
      <c r="A221" s="898">
        <v>11</v>
      </c>
      <c r="B221" s="899" t="s">
        <v>977</v>
      </c>
      <c r="C221" s="919" t="s">
        <v>978</v>
      </c>
      <c r="D221" s="870" t="s">
        <v>825</v>
      </c>
      <c r="E221" s="898"/>
      <c r="F221" s="862">
        <f>SUM(F222:F227)</f>
        <v>45301000000</v>
      </c>
      <c r="G221" s="862">
        <f>SUM(G222:G227)</f>
        <v>1472527761</v>
      </c>
      <c r="H221" s="862">
        <f t="shared" ref="H221:Y221" si="77">SUM(H222:H227)</f>
        <v>0</v>
      </c>
      <c r="I221" s="862">
        <f t="shared" si="77"/>
        <v>0</v>
      </c>
      <c r="J221" s="862">
        <f t="shared" si="77"/>
        <v>0</v>
      </c>
      <c r="K221" s="862">
        <f t="shared" si="77"/>
        <v>0</v>
      </c>
      <c r="L221" s="862">
        <f t="shared" si="77"/>
        <v>0</v>
      </c>
      <c r="M221" s="862">
        <f t="shared" si="77"/>
        <v>0</v>
      </c>
      <c r="N221" s="862">
        <f t="shared" si="77"/>
        <v>0</v>
      </c>
      <c r="O221" s="862">
        <f t="shared" si="77"/>
        <v>0</v>
      </c>
      <c r="P221" s="862">
        <f t="shared" si="77"/>
        <v>0</v>
      </c>
      <c r="Q221" s="862">
        <f t="shared" si="77"/>
        <v>820000000</v>
      </c>
      <c r="R221" s="862">
        <f t="shared" si="77"/>
        <v>819637488</v>
      </c>
      <c r="S221" s="862">
        <f t="shared" si="77"/>
        <v>636497488</v>
      </c>
      <c r="T221" s="862">
        <f t="shared" si="77"/>
        <v>183140000</v>
      </c>
      <c r="U221" s="862">
        <f t="shared" si="77"/>
        <v>0</v>
      </c>
      <c r="V221" s="862">
        <f t="shared" si="77"/>
        <v>0</v>
      </c>
      <c r="W221" s="862">
        <f>SUM(W222:W227)</f>
        <v>636497488</v>
      </c>
      <c r="X221" s="862">
        <f t="shared" si="77"/>
        <v>183140000</v>
      </c>
      <c r="Y221" s="862">
        <f t="shared" si="77"/>
        <v>2292165249</v>
      </c>
    </row>
    <row r="222" spans="1:25" s="988" customFormat="1" ht="24.95" customHeight="1">
      <c r="A222" s="904"/>
      <c r="B222" s="983" t="s">
        <v>1555</v>
      </c>
      <c r="C222" s="984" t="s">
        <v>978</v>
      </c>
      <c r="D222" s="985" t="s">
        <v>825</v>
      </c>
      <c r="E222" s="986">
        <v>7551385</v>
      </c>
      <c r="F222" s="987">
        <v>5194000000</v>
      </c>
      <c r="G222" s="987">
        <v>184307193</v>
      </c>
      <c r="H222" s="987"/>
      <c r="I222" s="987"/>
      <c r="J222" s="987"/>
      <c r="K222" s="987"/>
      <c r="L222" s="987"/>
      <c r="M222" s="987"/>
      <c r="N222" s="987"/>
      <c r="O222" s="987"/>
      <c r="P222" s="987"/>
      <c r="Q222" s="987">
        <v>102270000</v>
      </c>
      <c r="R222" s="987">
        <f t="shared" si="76"/>
        <v>102269926</v>
      </c>
      <c r="S222" s="987">
        <v>76999926</v>
      </c>
      <c r="T222" s="987">
        <v>25270000</v>
      </c>
      <c r="U222" s="987"/>
      <c r="V222" s="987"/>
      <c r="W222" s="987">
        <f t="shared" si="69"/>
        <v>76999926</v>
      </c>
      <c r="X222" s="987">
        <f t="shared" si="70"/>
        <v>25270000</v>
      </c>
      <c r="Y222" s="987">
        <f t="shared" si="71"/>
        <v>286577119</v>
      </c>
    </row>
    <row r="223" spans="1:25" s="988" customFormat="1" ht="24.95" customHeight="1">
      <c r="A223" s="904"/>
      <c r="B223" s="983" t="s">
        <v>1556</v>
      </c>
      <c r="C223" s="984" t="s">
        <v>978</v>
      </c>
      <c r="D223" s="985" t="s">
        <v>825</v>
      </c>
      <c r="E223" s="986">
        <v>7551388</v>
      </c>
      <c r="F223" s="987">
        <v>8111000000</v>
      </c>
      <c r="G223" s="987">
        <v>279503685</v>
      </c>
      <c r="H223" s="987"/>
      <c r="I223" s="987"/>
      <c r="J223" s="987"/>
      <c r="K223" s="987"/>
      <c r="L223" s="987"/>
      <c r="M223" s="987"/>
      <c r="N223" s="987"/>
      <c r="O223" s="987"/>
      <c r="P223" s="987"/>
      <c r="Q223" s="987">
        <v>148988000</v>
      </c>
      <c r="R223" s="987">
        <f t="shared" si="76"/>
        <v>148987646</v>
      </c>
      <c r="S223" s="987">
        <v>117183646</v>
      </c>
      <c r="T223" s="987">
        <v>31804000</v>
      </c>
      <c r="U223" s="987"/>
      <c r="V223" s="987"/>
      <c r="W223" s="987">
        <f t="shared" si="69"/>
        <v>117183646</v>
      </c>
      <c r="X223" s="987">
        <f t="shared" si="70"/>
        <v>31804000</v>
      </c>
      <c r="Y223" s="987">
        <f t="shared" si="71"/>
        <v>428491331</v>
      </c>
    </row>
    <row r="224" spans="1:25" s="988" customFormat="1" ht="24.95" customHeight="1">
      <c r="A224" s="904"/>
      <c r="B224" s="983" t="s">
        <v>1557</v>
      </c>
      <c r="C224" s="984" t="s">
        <v>978</v>
      </c>
      <c r="D224" s="985" t="s">
        <v>825</v>
      </c>
      <c r="E224" s="986">
        <v>7551394</v>
      </c>
      <c r="F224" s="987">
        <v>5005000000</v>
      </c>
      <c r="G224" s="987">
        <v>165381072</v>
      </c>
      <c r="H224" s="987"/>
      <c r="I224" s="987"/>
      <c r="J224" s="987"/>
      <c r="K224" s="987"/>
      <c r="L224" s="987"/>
      <c r="M224" s="987"/>
      <c r="N224" s="987"/>
      <c r="O224" s="987"/>
      <c r="P224" s="987"/>
      <c r="Q224" s="987">
        <v>101067000</v>
      </c>
      <c r="R224" s="987">
        <f t="shared" si="76"/>
        <v>101066797</v>
      </c>
      <c r="S224" s="987">
        <v>76409797</v>
      </c>
      <c r="T224" s="987">
        <v>24657000</v>
      </c>
      <c r="U224" s="987"/>
      <c r="V224" s="987"/>
      <c r="W224" s="987">
        <f t="shared" si="69"/>
        <v>76409797</v>
      </c>
      <c r="X224" s="987">
        <f t="shared" si="70"/>
        <v>24657000</v>
      </c>
      <c r="Y224" s="987">
        <f t="shared" si="71"/>
        <v>266447869</v>
      </c>
    </row>
    <row r="225" spans="1:25" s="988" customFormat="1" ht="24.95" customHeight="1">
      <c r="A225" s="904"/>
      <c r="B225" s="983" t="s">
        <v>1558</v>
      </c>
      <c r="C225" s="984" t="s">
        <v>978</v>
      </c>
      <c r="D225" s="985" t="s">
        <v>825</v>
      </c>
      <c r="E225" s="986">
        <v>7551396</v>
      </c>
      <c r="F225" s="987">
        <v>5023000000</v>
      </c>
      <c r="G225" s="987">
        <v>165106427</v>
      </c>
      <c r="H225" s="987"/>
      <c r="I225" s="987"/>
      <c r="J225" s="987"/>
      <c r="K225" s="987"/>
      <c r="L225" s="987"/>
      <c r="M225" s="987"/>
      <c r="N225" s="987"/>
      <c r="O225" s="987"/>
      <c r="P225" s="987"/>
      <c r="Q225" s="987">
        <v>101000000</v>
      </c>
      <c r="R225" s="987">
        <f t="shared" si="76"/>
        <v>100928936</v>
      </c>
      <c r="S225" s="987">
        <v>76213936</v>
      </c>
      <c r="T225" s="987">
        <v>24715000</v>
      </c>
      <c r="U225" s="987"/>
      <c r="V225" s="987"/>
      <c r="W225" s="987">
        <f t="shared" si="69"/>
        <v>76213936</v>
      </c>
      <c r="X225" s="987">
        <f t="shared" si="70"/>
        <v>24715000</v>
      </c>
      <c r="Y225" s="987">
        <f t="shared" si="71"/>
        <v>266035363</v>
      </c>
    </row>
    <row r="226" spans="1:25" s="988" customFormat="1" ht="24.95" customHeight="1">
      <c r="A226" s="904"/>
      <c r="B226" s="983" t="s">
        <v>1559</v>
      </c>
      <c r="C226" s="984" t="s">
        <v>978</v>
      </c>
      <c r="D226" s="985" t="s">
        <v>825</v>
      </c>
      <c r="E226" s="986">
        <v>7551398</v>
      </c>
      <c r="F226" s="987">
        <v>14083000000</v>
      </c>
      <c r="G226" s="987">
        <v>436150944</v>
      </c>
      <c r="H226" s="987"/>
      <c r="I226" s="987"/>
      <c r="J226" s="987"/>
      <c r="K226" s="987"/>
      <c r="L226" s="987"/>
      <c r="M226" s="987"/>
      <c r="N226" s="987"/>
      <c r="O226" s="987"/>
      <c r="P226" s="987"/>
      <c r="Q226" s="987">
        <v>224800000</v>
      </c>
      <c r="R226" s="987">
        <f t="shared" si="76"/>
        <v>224700028</v>
      </c>
      <c r="S226" s="987">
        <v>179505028</v>
      </c>
      <c r="T226" s="987">
        <v>45195000</v>
      </c>
      <c r="U226" s="987"/>
      <c r="V226" s="987"/>
      <c r="W226" s="987">
        <f t="shared" si="69"/>
        <v>179505028</v>
      </c>
      <c r="X226" s="987">
        <f t="shared" si="70"/>
        <v>45195000</v>
      </c>
      <c r="Y226" s="987">
        <f t="shared" si="71"/>
        <v>660850972</v>
      </c>
    </row>
    <row r="227" spans="1:25" s="988" customFormat="1" ht="24.95" customHeight="1">
      <c r="A227" s="904"/>
      <c r="B227" s="983" t="s">
        <v>1560</v>
      </c>
      <c r="C227" s="984" t="s">
        <v>978</v>
      </c>
      <c r="D227" s="985" t="s">
        <v>825</v>
      </c>
      <c r="E227" s="986">
        <v>7551400</v>
      </c>
      <c r="F227" s="987">
        <v>7885000000</v>
      </c>
      <c r="G227" s="987">
        <v>242078440</v>
      </c>
      <c r="H227" s="987"/>
      <c r="I227" s="987"/>
      <c r="J227" s="987"/>
      <c r="K227" s="987"/>
      <c r="L227" s="987"/>
      <c r="M227" s="987"/>
      <c r="N227" s="987"/>
      <c r="O227" s="987"/>
      <c r="P227" s="987"/>
      <c r="Q227" s="987">
        <v>141875000</v>
      </c>
      <c r="R227" s="987">
        <f t="shared" si="76"/>
        <v>141684155</v>
      </c>
      <c r="S227" s="987">
        <v>110185155</v>
      </c>
      <c r="T227" s="987">
        <v>31499000</v>
      </c>
      <c r="U227" s="987"/>
      <c r="V227" s="987"/>
      <c r="W227" s="987">
        <f t="shared" si="69"/>
        <v>110185155</v>
      </c>
      <c r="X227" s="987">
        <f t="shared" si="70"/>
        <v>31499000</v>
      </c>
      <c r="Y227" s="987">
        <f t="shared" si="71"/>
        <v>383762595</v>
      </c>
    </row>
    <row r="228" spans="1:25" s="512" customFormat="1" ht="15" customHeight="1">
      <c r="A228" s="901" t="s">
        <v>112</v>
      </c>
      <c r="B228" s="902" t="s">
        <v>858</v>
      </c>
      <c r="C228" s="931"/>
      <c r="D228" s="879"/>
      <c r="E228" s="901"/>
      <c r="F228" s="886">
        <f>SUM(F229:F230)</f>
        <v>15007000000</v>
      </c>
      <c r="G228" s="886">
        <f>SUM(G229:G230)</f>
        <v>521029000</v>
      </c>
      <c r="H228" s="886">
        <f t="shared" ref="H228:Y228" si="78">SUM(H229:H230)</f>
        <v>0</v>
      </c>
      <c r="I228" s="886">
        <f t="shared" si="78"/>
        <v>0</v>
      </c>
      <c r="J228" s="886">
        <f t="shared" si="78"/>
        <v>0</v>
      </c>
      <c r="K228" s="886">
        <f t="shared" si="78"/>
        <v>0</v>
      </c>
      <c r="L228" s="886">
        <f t="shared" si="78"/>
        <v>0</v>
      </c>
      <c r="M228" s="886">
        <f t="shared" si="78"/>
        <v>0</v>
      </c>
      <c r="N228" s="886">
        <f t="shared" si="78"/>
        <v>0</v>
      </c>
      <c r="O228" s="886">
        <f t="shared" si="78"/>
        <v>0</v>
      </c>
      <c r="P228" s="886">
        <f t="shared" si="78"/>
        <v>0</v>
      </c>
      <c r="Q228" s="886">
        <f t="shared" si="78"/>
        <v>10955000000</v>
      </c>
      <c r="R228" s="886">
        <f t="shared" si="78"/>
        <v>10932358000</v>
      </c>
      <c r="S228" s="886">
        <f t="shared" si="78"/>
        <v>8788108000</v>
      </c>
      <c r="T228" s="886">
        <f t="shared" si="78"/>
        <v>2144250000</v>
      </c>
      <c r="U228" s="886">
        <f t="shared" si="78"/>
        <v>0</v>
      </c>
      <c r="V228" s="886">
        <f t="shared" si="78"/>
        <v>0</v>
      </c>
      <c r="W228" s="886">
        <f>SUM(W229:W230)</f>
        <v>8788108000</v>
      </c>
      <c r="X228" s="886">
        <f t="shared" si="78"/>
        <v>2144250000</v>
      </c>
      <c r="Y228" s="886">
        <f t="shared" si="78"/>
        <v>11453387000</v>
      </c>
    </row>
    <row r="229" spans="1:25" ht="32.1" customHeight="1">
      <c r="A229" s="898">
        <v>1</v>
      </c>
      <c r="B229" s="899" t="s">
        <v>979</v>
      </c>
      <c r="C229" s="919" t="s">
        <v>980</v>
      </c>
      <c r="D229" s="870" t="s">
        <v>825</v>
      </c>
      <c r="E229" s="898">
        <v>7615069</v>
      </c>
      <c r="F229" s="862">
        <v>2813000000</v>
      </c>
      <c r="G229" s="862"/>
      <c r="H229" s="862"/>
      <c r="I229" s="862"/>
      <c r="J229" s="862"/>
      <c r="K229" s="862"/>
      <c r="L229" s="862"/>
      <c r="M229" s="862"/>
      <c r="N229" s="862"/>
      <c r="O229" s="862"/>
      <c r="P229" s="862"/>
      <c r="Q229" s="862">
        <v>2655000000</v>
      </c>
      <c r="R229" s="862">
        <f t="shared" si="76"/>
        <v>2636407000</v>
      </c>
      <c r="S229" s="862">
        <v>2636407000</v>
      </c>
      <c r="T229" s="862">
        <v>0</v>
      </c>
      <c r="U229" s="862"/>
      <c r="V229" s="862"/>
      <c r="W229" s="862">
        <f t="shared" si="69"/>
        <v>2636407000</v>
      </c>
      <c r="X229" s="862">
        <f t="shared" si="70"/>
        <v>0</v>
      </c>
      <c r="Y229" s="862">
        <f t="shared" si="71"/>
        <v>2636407000</v>
      </c>
    </row>
    <row r="230" spans="1:25" ht="15" customHeight="1">
      <c r="A230" s="898">
        <v>2</v>
      </c>
      <c r="B230" s="899" t="s">
        <v>981</v>
      </c>
      <c r="C230" s="919" t="s">
        <v>840</v>
      </c>
      <c r="D230" s="870" t="s">
        <v>825</v>
      </c>
      <c r="E230" s="898">
        <v>7562653</v>
      </c>
      <c r="F230" s="862">
        <v>12194000000</v>
      </c>
      <c r="G230" s="862">
        <v>521029000</v>
      </c>
      <c r="H230" s="862"/>
      <c r="I230" s="862"/>
      <c r="J230" s="862"/>
      <c r="K230" s="862"/>
      <c r="L230" s="862"/>
      <c r="M230" s="862"/>
      <c r="N230" s="862"/>
      <c r="O230" s="862"/>
      <c r="P230" s="862"/>
      <c r="Q230" s="862">
        <v>8300000000</v>
      </c>
      <c r="R230" s="862">
        <f t="shared" si="76"/>
        <v>8295951000</v>
      </c>
      <c r="S230" s="862">
        <v>6151701000</v>
      </c>
      <c r="T230" s="862">
        <v>2144250000</v>
      </c>
      <c r="U230" s="862"/>
      <c r="V230" s="862"/>
      <c r="W230" s="862">
        <f t="shared" si="69"/>
        <v>6151701000</v>
      </c>
      <c r="X230" s="862">
        <f t="shared" si="70"/>
        <v>2144250000</v>
      </c>
      <c r="Y230" s="862">
        <f t="shared" si="71"/>
        <v>8816980000</v>
      </c>
    </row>
    <row r="231" spans="1:25" ht="24.95" customHeight="1">
      <c r="A231" s="912" t="s">
        <v>77</v>
      </c>
      <c r="B231" s="916" t="s">
        <v>568</v>
      </c>
      <c r="C231" s="919"/>
      <c r="D231" s="870"/>
      <c r="E231" s="912"/>
      <c r="F231" s="884">
        <f>F232+F242</f>
        <v>354211000000</v>
      </c>
      <c r="G231" s="884">
        <f>G232+G242</f>
        <v>114947336936</v>
      </c>
      <c r="H231" s="884">
        <f t="shared" ref="H231:Y231" si="79">H232+H242</f>
        <v>0</v>
      </c>
      <c r="I231" s="884">
        <f t="shared" si="79"/>
        <v>0</v>
      </c>
      <c r="J231" s="884">
        <f t="shared" si="79"/>
        <v>0</v>
      </c>
      <c r="K231" s="884">
        <f t="shared" si="79"/>
        <v>0</v>
      </c>
      <c r="L231" s="884">
        <f t="shared" si="79"/>
        <v>0</v>
      </c>
      <c r="M231" s="884">
        <f t="shared" si="79"/>
        <v>0</v>
      </c>
      <c r="N231" s="884">
        <f t="shared" si="79"/>
        <v>0</v>
      </c>
      <c r="O231" s="884">
        <f t="shared" si="79"/>
        <v>0</v>
      </c>
      <c r="P231" s="884">
        <f t="shared" si="79"/>
        <v>0</v>
      </c>
      <c r="Q231" s="884">
        <f t="shared" si="79"/>
        <v>57946000000</v>
      </c>
      <c r="R231" s="884">
        <f t="shared" si="79"/>
        <v>57874319600</v>
      </c>
      <c r="S231" s="884">
        <f t="shared" si="79"/>
        <v>46527389600</v>
      </c>
      <c r="T231" s="884">
        <f t="shared" si="79"/>
        <v>11346930000</v>
      </c>
      <c r="U231" s="884">
        <f t="shared" si="79"/>
        <v>0</v>
      </c>
      <c r="V231" s="884">
        <f t="shared" si="79"/>
        <v>0</v>
      </c>
      <c r="W231" s="884">
        <f>W232+W242</f>
        <v>46527389600</v>
      </c>
      <c r="X231" s="884">
        <f t="shared" si="79"/>
        <v>11346930000</v>
      </c>
      <c r="Y231" s="884">
        <f t="shared" si="79"/>
        <v>172821656536</v>
      </c>
    </row>
    <row r="232" spans="1:25" ht="15" customHeight="1">
      <c r="A232" s="901" t="s">
        <v>108</v>
      </c>
      <c r="B232" s="902" t="s">
        <v>5</v>
      </c>
      <c r="C232" s="931"/>
      <c r="D232" s="870"/>
      <c r="E232" s="901"/>
      <c r="F232" s="886">
        <f>SUM(F233:F241)</f>
        <v>324110000000</v>
      </c>
      <c r="G232" s="886">
        <f>SUM(G233:G241)</f>
        <v>114703847936</v>
      </c>
      <c r="H232" s="886">
        <f t="shared" ref="H232:Y232" si="80">SUM(H233:H241)</f>
        <v>0</v>
      </c>
      <c r="I232" s="886">
        <f t="shared" si="80"/>
        <v>0</v>
      </c>
      <c r="J232" s="886">
        <f t="shared" si="80"/>
        <v>0</v>
      </c>
      <c r="K232" s="886">
        <f t="shared" si="80"/>
        <v>0</v>
      </c>
      <c r="L232" s="886">
        <f t="shared" si="80"/>
        <v>0</v>
      </c>
      <c r="M232" s="886">
        <f t="shared" si="80"/>
        <v>0</v>
      </c>
      <c r="N232" s="886">
        <f t="shared" si="80"/>
        <v>0</v>
      </c>
      <c r="O232" s="886">
        <f t="shared" si="80"/>
        <v>0</v>
      </c>
      <c r="P232" s="886">
        <f t="shared" si="80"/>
        <v>0</v>
      </c>
      <c r="Q232" s="886">
        <f t="shared" si="80"/>
        <v>33446000000</v>
      </c>
      <c r="R232" s="886">
        <f t="shared" si="80"/>
        <v>33414874600</v>
      </c>
      <c r="S232" s="886">
        <f t="shared" si="80"/>
        <v>22371544600</v>
      </c>
      <c r="T232" s="886">
        <f t="shared" si="80"/>
        <v>11043330000</v>
      </c>
      <c r="U232" s="886">
        <f t="shared" si="80"/>
        <v>0</v>
      </c>
      <c r="V232" s="886">
        <f t="shared" si="80"/>
        <v>0</v>
      </c>
      <c r="W232" s="886">
        <f>SUM(W233:W241)</f>
        <v>22371544600</v>
      </c>
      <c r="X232" s="886">
        <f t="shared" si="80"/>
        <v>11043330000</v>
      </c>
      <c r="Y232" s="886">
        <f t="shared" si="80"/>
        <v>148118722536</v>
      </c>
    </row>
    <row r="233" spans="1:25" ht="24.95" customHeight="1">
      <c r="A233" s="898">
        <v>1</v>
      </c>
      <c r="B233" s="899" t="s">
        <v>570</v>
      </c>
      <c r="C233" s="919" t="s">
        <v>847</v>
      </c>
      <c r="D233" s="870" t="s">
        <v>825</v>
      </c>
      <c r="E233" s="898">
        <v>7008601</v>
      </c>
      <c r="F233" s="862">
        <v>15535000000</v>
      </c>
      <c r="G233" s="862">
        <v>13817039000</v>
      </c>
      <c r="H233" s="862"/>
      <c r="I233" s="862"/>
      <c r="J233" s="862"/>
      <c r="K233" s="862"/>
      <c r="L233" s="862"/>
      <c r="M233" s="862"/>
      <c r="N233" s="862"/>
      <c r="O233" s="862"/>
      <c r="P233" s="862"/>
      <c r="Q233" s="862">
        <v>735000000</v>
      </c>
      <c r="R233" s="862">
        <f t="shared" si="76"/>
        <v>706043000</v>
      </c>
      <c r="S233" s="862">
        <v>677308000</v>
      </c>
      <c r="T233" s="862">
        <v>28735000</v>
      </c>
      <c r="U233" s="862"/>
      <c r="V233" s="862"/>
      <c r="W233" s="862">
        <f t="shared" si="69"/>
        <v>677308000</v>
      </c>
      <c r="X233" s="862">
        <f t="shared" si="70"/>
        <v>28735000</v>
      </c>
      <c r="Y233" s="862">
        <f t="shared" si="71"/>
        <v>14523082000</v>
      </c>
    </row>
    <row r="234" spans="1:25" ht="24.95" customHeight="1">
      <c r="A234" s="898">
        <v>2</v>
      </c>
      <c r="B234" s="899" t="s">
        <v>573</v>
      </c>
      <c r="C234" s="919" t="s">
        <v>844</v>
      </c>
      <c r="D234" s="870" t="s">
        <v>825</v>
      </c>
      <c r="E234" s="898">
        <v>7543183</v>
      </c>
      <c r="F234" s="862">
        <v>12323000000</v>
      </c>
      <c r="G234" s="862">
        <v>7540000000</v>
      </c>
      <c r="H234" s="862"/>
      <c r="I234" s="862"/>
      <c r="J234" s="862"/>
      <c r="K234" s="862"/>
      <c r="L234" s="862"/>
      <c r="M234" s="862"/>
      <c r="N234" s="862"/>
      <c r="O234" s="862"/>
      <c r="P234" s="862"/>
      <c r="Q234" s="862">
        <v>4361000000</v>
      </c>
      <c r="R234" s="862">
        <f t="shared" si="76"/>
        <v>4360616000</v>
      </c>
      <c r="S234" s="862">
        <v>4360616000</v>
      </c>
      <c r="T234" s="862">
        <v>0</v>
      </c>
      <c r="U234" s="862"/>
      <c r="V234" s="862"/>
      <c r="W234" s="862">
        <f t="shared" si="69"/>
        <v>4360616000</v>
      </c>
      <c r="X234" s="862">
        <f t="shared" si="70"/>
        <v>0</v>
      </c>
      <c r="Y234" s="862">
        <f t="shared" si="71"/>
        <v>11900616000</v>
      </c>
    </row>
    <row r="235" spans="1:25" ht="24.95" customHeight="1">
      <c r="A235" s="898">
        <v>3</v>
      </c>
      <c r="B235" s="899" t="s">
        <v>574</v>
      </c>
      <c r="C235" s="919" t="s">
        <v>844</v>
      </c>
      <c r="D235" s="870" t="s">
        <v>825</v>
      </c>
      <c r="E235" s="898">
        <v>7543171</v>
      </c>
      <c r="F235" s="862">
        <v>12480000000</v>
      </c>
      <c r="G235" s="862">
        <v>8863000000</v>
      </c>
      <c r="H235" s="862"/>
      <c r="I235" s="862"/>
      <c r="J235" s="862"/>
      <c r="K235" s="862"/>
      <c r="L235" s="862"/>
      <c r="M235" s="862"/>
      <c r="N235" s="862"/>
      <c r="O235" s="862"/>
      <c r="P235" s="862"/>
      <c r="Q235" s="862">
        <v>2827000000</v>
      </c>
      <c r="R235" s="862">
        <f t="shared" si="76"/>
        <v>2826044000</v>
      </c>
      <c r="S235" s="862">
        <v>2826044000</v>
      </c>
      <c r="T235" s="862">
        <v>0</v>
      </c>
      <c r="U235" s="862"/>
      <c r="V235" s="862"/>
      <c r="W235" s="862">
        <f t="shared" si="69"/>
        <v>2826044000</v>
      </c>
      <c r="X235" s="862">
        <f t="shared" si="70"/>
        <v>0</v>
      </c>
      <c r="Y235" s="862">
        <f t="shared" si="71"/>
        <v>11689044000</v>
      </c>
    </row>
    <row r="236" spans="1:25" ht="24.95" customHeight="1">
      <c r="A236" s="898">
        <v>4</v>
      </c>
      <c r="B236" s="899" t="s">
        <v>575</v>
      </c>
      <c r="C236" s="919" t="s">
        <v>847</v>
      </c>
      <c r="D236" s="870" t="s">
        <v>825</v>
      </c>
      <c r="E236" s="898">
        <v>7549968</v>
      </c>
      <c r="F236" s="862">
        <v>12600000000</v>
      </c>
      <c r="G236" s="862">
        <v>5500000000</v>
      </c>
      <c r="H236" s="862"/>
      <c r="I236" s="862"/>
      <c r="J236" s="862"/>
      <c r="K236" s="862"/>
      <c r="L236" s="862"/>
      <c r="M236" s="862"/>
      <c r="N236" s="862"/>
      <c r="O236" s="862"/>
      <c r="P236" s="862"/>
      <c r="Q236" s="862">
        <v>5940000000</v>
      </c>
      <c r="R236" s="862">
        <f t="shared" si="76"/>
        <v>5940000000</v>
      </c>
      <c r="S236" s="862">
        <v>5925405000</v>
      </c>
      <c r="T236" s="862">
        <v>14595000</v>
      </c>
      <c r="U236" s="862"/>
      <c r="V236" s="862"/>
      <c r="W236" s="862">
        <f t="shared" si="69"/>
        <v>5925405000</v>
      </c>
      <c r="X236" s="862">
        <f t="shared" si="70"/>
        <v>14595000</v>
      </c>
      <c r="Y236" s="862">
        <f t="shared" si="71"/>
        <v>11440000000</v>
      </c>
    </row>
    <row r="237" spans="1:25" ht="24.95" customHeight="1">
      <c r="A237" s="898">
        <v>5</v>
      </c>
      <c r="B237" s="899" t="s">
        <v>982</v>
      </c>
      <c r="C237" s="919" t="s">
        <v>848</v>
      </c>
      <c r="D237" s="870" t="s">
        <v>825</v>
      </c>
      <c r="E237" s="898">
        <v>7501906</v>
      </c>
      <c r="F237" s="862">
        <v>12270000000</v>
      </c>
      <c r="G237" s="862">
        <v>11000000000</v>
      </c>
      <c r="H237" s="862"/>
      <c r="I237" s="862"/>
      <c r="J237" s="862"/>
      <c r="K237" s="862"/>
      <c r="L237" s="862"/>
      <c r="M237" s="862"/>
      <c r="N237" s="862"/>
      <c r="O237" s="862"/>
      <c r="P237" s="862"/>
      <c r="Q237" s="862">
        <v>1169000000</v>
      </c>
      <c r="R237" s="862">
        <f t="shared" si="76"/>
        <v>1168437600</v>
      </c>
      <c r="S237" s="862">
        <v>1168437600</v>
      </c>
      <c r="T237" s="862">
        <v>0</v>
      </c>
      <c r="U237" s="862"/>
      <c r="V237" s="862"/>
      <c r="W237" s="862">
        <f t="shared" si="69"/>
        <v>1168437600</v>
      </c>
      <c r="X237" s="862">
        <f t="shared" si="70"/>
        <v>0</v>
      </c>
      <c r="Y237" s="862">
        <f t="shared" si="71"/>
        <v>12168437600</v>
      </c>
    </row>
    <row r="238" spans="1:25" ht="15" customHeight="1">
      <c r="A238" s="898">
        <v>6</v>
      </c>
      <c r="B238" s="899" t="s">
        <v>983</v>
      </c>
      <c r="C238" s="919" t="s">
        <v>840</v>
      </c>
      <c r="D238" s="870" t="s">
        <v>825</v>
      </c>
      <c r="E238" s="898">
        <v>7536929</v>
      </c>
      <c r="F238" s="862">
        <v>53479000000</v>
      </c>
      <c r="G238" s="862">
        <v>1609067000</v>
      </c>
      <c r="H238" s="862"/>
      <c r="I238" s="862"/>
      <c r="J238" s="862"/>
      <c r="K238" s="862"/>
      <c r="L238" s="862"/>
      <c r="M238" s="862"/>
      <c r="N238" s="862"/>
      <c r="O238" s="862"/>
      <c r="P238" s="862"/>
      <c r="Q238" s="862">
        <v>10500000000</v>
      </c>
      <c r="R238" s="862">
        <f t="shared" si="76"/>
        <v>10500000000</v>
      </c>
      <c r="S238" s="862">
        <v>500000000</v>
      </c>
      <c r="T238" s="862">
        <v>10000000000</v>
      </c>
      <c r="U238" s="862"/>
      <c r="V238" s="862"/>
      <c r="W238" s="862">
        <f t="shared" si="69"/>
        <v>500000000</v>
      </c>
      <c r="X238" s="862">
        <f t="shared" si="70"/>
        <v>10000000000</v>
      </c>
      <c r="Y238" s="862">
        <f t="shared" si="71"/>
        <v>12109067000</v>
      </c>
    </row>
    <row r="239" spans="1:25" ht="24.95" customHeight="1">
      <c r="A239" s="898">
        <v>7</v>
      </c>
      <c r="B239" s="899" t="s">
        <v>984</v>
      </c>
      <c r="C239" s="919" t="s">
        <v>840</v>
      </c>
      <c r="D239" s="870" t="s">
        <v>825</v>
      </c>
      <c r="E239" s="898">
        <v>7219218</v>
      </c>
      <c r="F239" s="862">
        <v>34504000000</v>
      </c>
      <c r="G239" s="862">
        <v>21890172000</v>
      </c>
      <c r="H239" s="862"/>
      <c r="I239" s="862"/>
      <c r="J239" s="862"/>
      <c r="K239" s="862"/>
      <c r="L239" s="862"/>
      <c r="M239" s="862"/>
      <c r="N239" s="862"/>
      <c r="O239" s="862"/>
      <c r="P239" s="862"/>
      <c r="Q239" s="862">
        <v>5000000000</v>
      </c>
      <c r="R239" s="862">
        <f t="shared" si="76"/>
        <v>5000000000</v>
      </c>
      <c r="S239" s="862">
        <v>4000000000</v>
      </c>
      <c r="T239" s="862">
        <v>1000000000</v>
      </c>
      <c r="U239" s="862"/>
      <c r="V239" s="862"/>
      <c r="W239" s="862">
        <f t="shared" si="69"/>
        <v>4000000000</v>
      </c>
      <c r="X239" s="862">
        <f t="shared" si="70"/>
        <v>1000000000</v>
      </c>
      <c r="Y239" s="862">
        <f t="shared" si="71"/>
        <v>26890172000</v>
      </c>
    </row>
    <row r="240" spans="1:25" ht="42" customHeight="1">
      <c r="A240" s="898">
        <v>8</v>
      </c>
      <c r="B240" s="865" t="s">
        <v>985</v>
      </c>
      <c r="C240" s="919" t="s">
        <v>986</v>
      </c>
      <c r="D240" s="870" t="s">
        <v>825</v>
      </c>
      <c r="E240" s="863">
        <v>7491781</v>
      </c>
      <c r="F240" s="862">
        <v>7951000000</v>
      </c>
      <c r="G240" s="862">
        <v>7318453811</v>
      </c>
      <c r="H240" s="862"/>
      <c r="I240" s="862"/>
      <c r="J240" s="862"/>
      <c r="K240" s="862"/>
      <c r="L240" s="862"/>
      <c r="M240" s="862"/>
      <c r="N240" s="862"/>
      <c r="O240" s="862"/>
      <c r="P240" s="862"/>
      <c r="Q240" s="862">
        <v>255000000</v>
      </c>
      <c r="R240" s="862">
        <f t="shared" si="76"/>
        <v>254734000</v>
      </c>
      <c r="S240" s="862">
        <v>254734000</v>
      </c>
      <c r="T240" s="862">
        <v>0</v>
      </c>
      <c r="U240" s="862"/>
      <c r="V240" s="862"/>
      <c r="W240" s="862">
        <f t="shared" si="69"/>
        <v>254734000</v>
      </c>
      <c r="X240" s="862">
        <f t="shared" si="70"/>
        <v>0</v>
      </c>
      <c r="Y240" s="862">
        <f t="shared" si="71"/>
        <v>7573187811</v>
      </c>
    </row>
    <row r="241" spans="1:25" ht="42" customHeight="1">
      <c r="A241" s="898">
        <v>9</v>
      </c>
      <c r="B241" s="865" t="s">
        <v>1459</v>
      </c>
      <c r="C241" s="919" t="s">
        <v>986</v>
      </c>
      <c r="D241" s="870" t="s">
        <v>825</v>
      </c>
      <c r="E241" s="863">
        <v>7034499</v>
      </c>
      <c r="F241" s="862">
        <v>162968000000</v>
      </c>
      <c r="G241" s="862">
        <v>37166116125</v>
      </c>
      <c r="H241" s="862"/>
      <c r="I241" s="862"/>
      <c r="J241" s="862"/>
      <c r="K241" s="862"/>
      <c r="L241" s="862"/>
      <c r="M241" s="862"/>
      <c r="N241" s="862"/>
      <c r="O241" s="862"/>
      <c r="P241" s="862"/>
      <c r="Q241" s="862">
        <v>2659000000</v>
      </c>
      <c r="R241" s="862">
        <f t="shared" si="76"/>
        <v>2659000000</v>
      </c>
      <c r="S241" s="862">
        <v>2659000000</v>
      </c>
      <c r="T241" s="862">
        <v>0</v>
      </c>
      <c r="U241" s="862"/>
      <c r="V241" s="862"/>
      <c r="W241" s="862">
        <f t="shared" si="69"/>
        <v>2659000000</v>
      </c>
      <c r="X241" s="862">
        <f t="shared" si="70"/>
        <v>0</v>
      </c>
      <c r="Y241" s="862">
        <f t="shared" si="71"/>
        <v>39825116125</v>
      </c>
    </row>
    <row r="242" spans="1:25" ht="15" customHeight="1">
      <c r="A242" s="901" t="s">
        <v>112</v>
      </c>
      <c r="B242" s="902" t="s">
        <v>858</v>
      </c>
      <c r="C242" s="931"/>
      <c r="D242" s="870"/>
      <c r="E242" s="901"/>
      <c r="F242" s="886">
        <f>SUM(F243:F245)</f>
        <v>30101000000</v>
      </c>
      <c r="G242" s="886">
        <f>SUM(G243:G245)</f>
        <v>243489000</v>
      </c>
      <c r="H242" s="886">
        <f t="shared" ref="H242:Y242" si="81">SUM(H243:H245)</f>
        <v>0</v>
      </c>
      <c r="I242" s="886">
        <f t="shared" si="81"/>
        <v>0</v>
      </c>
      <c r="J242" s="886">
        <f t="shared" si="81"/>
        <v>0</v>
      </c>
      <c r="K242" s="886">
        <f t="shared" si="81"/>
        <v>0</v>
      </c>
      <c r="L242" s="886">
        <f t="shared" si="81"/>
        <v>0</v>
      </c>
      <c r="M242" s="886">
        <f t="shared" si="81"/>
        <v>0</v>
      </c>
      <c r="N242" s="886">
        <f t="shared" si="81"/>
        <v>0</v>
      </c>
      <c r="O242" s="886">
        <f t="shared" si="81"/>
        <v>0</v>
      </c>
      <c r="P242" s="886">
        <f t="shared" si="81"/>
        <v>0</v>
      </c>
      <c r="Q242" s="886">
        <f t="shared" si="81"/>
        <v>24500000000</v>
      </c>
      <c r="R242" s="886">
        <f t="shared" si="81"/>
        <v>24459445000</v>
      </c>
      <c r="S242" s="886">
        <f t="shared" si="81"/>
        <v>24155845000</v>
      </c>
      <c r="T242" s="886">
        <f t="shared" si="81"/>
        <v>303600000</v>
      </c>
      <c r="U242" s="886">
        <f t="shared" si="81"/>
        <v>0</v>
      </c>
      <c r="V242" s="886">
        <f t="shared" si="81"/>
        <v>0</v>
      </c>
      <c r="W242" s="886">
        <f>SUM(W243:W245)</f>
        <v>24155845000</v>
      </c>
      <c r="X242" s="886">
        <f t="shared" si="81"/>
        <v>303600000</v>
      </c>
      <c r="Y242" s="886">
        <f t="shared" si="81"/>
        <v>24702934000</v>
      </c>
    </row>
    <row r="243" spans="1:25" ht="24.95" customHeight="1">
      <c r="A243" s="898">
        <v>1</v>
      </c>
      <c r="B243" s="899" t="s">
        <v>987</v>
      </c>
      <c r="C243" s="919" t="s">
        <v>875</v>
      </c>
      <c r="D243" s="870" t="s">
        <v>825</v>
      </c>
      <c r="E243" s="898">
        <v>7584789</v>
      </c>
      <c r="F243" s="862">
        <v>13555000000</v>
      </c>
      <c r="G243" s="862"/>
      <c r="H243" s="862"/>
      <c r="I243" s="862"/>
      <c r="J243" s="862"/>
      <c r="K243" s="862"/>
      <c r="L243" s="862"/>
      <c r="M243" s="862"/>
      <c r="N243" s="862"/>
      <c r="O243" s="862"/>
      <c r="P243" s="862"/>
      <c r="Q243" s="862">
        <v>11885000000</v>
      </c>
      <c r="R243" s="862">
        <f t="shared" si="76"/>
        <v>11885000000</v>
      </c>
      <c r="S243" s="862">
        <v>11581400000</v>
      </c>
      <c r="T243" s="862">
        <v>303600000</v>
      </c>
      <c r="U243" s="862"/>
      <c r="V243" s="862"/>
      <c r="W243" s="862">
        <f t="shared" si="69"/>
        <v>11581400000</v>
      </c>
      <c r="X243" s="862">
        <f t="shared" si="70"/>
        <v>303600000</v>
      </c>
      <c r="Y243" s="862">
        <f t="shared" si="71"/>
        <v>11885000000</v>
      </c>
    </row>
    <row r="244" spans="1:25" ht="32.1" customHeight="1">
      <c r="A244" s="898">
        <v>2</v>
      </c>
      <c r="B244" s="899" t="s">
        <v>988</v>
      </c>
      <c r="C244" s="919" t="s">
        <v>989</v>
      </c>
      <c r="D244" s="870" t="s">
        <v>825</v>
      </c>
      <c r="E244" s="898">
        <v>7561657</v>
      </c>
      <c r="F244" s="862">
        <v>8553000000</v>
      </c>
      <c r="G244" s="862">
        <v>243489000</v>
      </c>
      <c r="H244" s="862"/>
      <c r="I244" s="862"/>
      <c r="J244" s="862"/>
      <c r="K244" s="862"/>
      <c r="L244" s="862"/>
      <c r="M244" s="862"/>
      <c r="N244" s="862"/>
      <c r="O244" s="862"/>
      <c r="P244" s="862"/>
      <c r="Q244" s="862">
        <v>6000000000</v>
      </c>
      <c r="R244" s="862">
        <f t="shared" si="76"/>
        <v>6000000000</v>
      </c>
      <c r="S244" s="862">
        <v>6000000000</v>
      </c>
      <c r="T244" s="862">
        <v>0</v>
      </c>
      <c r="U244" s="862"/>
      <c r="V244" s="862"/>
      <c r="W244" s="862">
        <f t="shared" si="69"/>
        <v>6000000000</v>
      </c>
      <c r="X244" s="862">
        <f t="shared" si="70"/>
        <v>0</v>
      </c>
      <c r="Y244" s="862">
        <f t="shared" si="71"/>
        <v>6243489000</v>
      </c>
    </row>
    <row r="245" spans="1:25" ht="32.1" customHeight="1">
      <c r="A245" s="898">
        <v>3</v>
      </c>
      <c r="B245" s="899" t="s">
        <v>990</v>
      </c>
      <c r="C245" s="919" t="s">
        <v>989</v>
      </c>
      <c r="D245" s="870" t="s">
        <v>825</v>
      </c>
      <c r="E245" s="898">
        <v>7581626</v>
      </c>
      <c r="F245" s="862">
        <v>7993000000</v>
      </c>
      <c r="G245" s="862"/>
      <c r="H245" s="862"/>
      <c r="I245" s="862"/>
      <c r="J245" s="862"/>
      <c r="K245" s="862"/>
      <c r="L245" s="862"/>
      <c r="M245" s="862"/>
      <c r="N245" s="862"/>
      <c r="O245" s="862"/>
      <c r="P245" s="862"/>
      <c r="Q245" s="862">
        <v>6615000000</v>
      </c>
      <c r="R245" s="862">
        <f t="shared" si="76"/>
        <v>6574445000</v>
      </c>
      <c r="S245" s="862">
        <v>6574445000</v>
      </c>
      <c r="T245" s="862">
        <v>0</v>
      </c>
      <c r="U245" s="862"/>
      <c r="V245" s="862"/>
      <c r="W245" s="862">
        <f t="shared" si="69"/>
        <v>6574445000</v>
      </c>
      <c r="X245" s="862">
        <f t="shared" si="70"/>
        <v>0</v>
      </c>
      <c r="Y245" s="862">
        <f t="shared" si="71"/>
        <v>6574445000</v>
      </c>
    </row>
    <row r="246" spans="1:25" ht="15" customHeight="1">
      <c r="A246" s="912" t="s">
        <v>141</v>
      </c>
      <c r="B246" s="916" t="s">
        <v>577</v>
      </c>
      <c r="C246" s="919"/>
      <c r="D246" s="870"/>
      <c r="E246" s="912"/>
      <c r="F246" s="884">
        <f>F247+F257</f>
        <v>468794000000</v>
      </c>
      <c r="G246" s="884">
        <f>G247+G257</f>
        <v>88159691308</v>
      </c>
      <c r="H246" s="884">
        <f t="shared" ref="H246:Y246" si="82">H247+H257</f>
        <v>0</v>
      </c>
      <c r="I246" s="884">
        <f t="shared" si="82"/>
        <v>0</v>
      </c>
      <c r="J246" s="884">
        <f t="shared" si="82"/>
        <v>0</v>
      </c>
      <c r="K246" s="884">
        <f t="shared" si="82"/>
        <v>0</v>
      </c>
      <c r="L246" s="884">
        <f t="shared" si="82"/>
        <v>0</v>
      </c>
      <c r="M246" s="884">
        <f t="shared" si="82"/>
        <v>0</v>
      </c>
      <c r="N246" s="884">
        <f t="shared" si="82"/>
        <v>0</v>
      </c>
      <c r="O246" s="884">
        <f t="shared" si="82"/>
        <v>0</v>
      </c>
      <c r="P246" s="884">
        <f t="shared" si="82"/>
        <v>0</v>
      </c>
      <c r="Q246" s="884">
        <f t="shared" si="82"/>
        <v>65156000000</v>
      </c>
      <c r="R246" s="884">
        <f t="shared" si="82"/>
        <v>64902010426</v>
      </c>
      <c r="S246" s="884">
        <f t="shared" si="82"/>
        <v>56349354426</v>
      </c>
      <c r="T246" s="884">
        <f t="shared" si="82"/>
        <v>8552656000</v>
      </c>
      <c r="U246" s="884">
        <f t="shared" si="82"/>
        <v>0</v>
      </c>
      <c r="V246" s="884">
        <f t="shared" si="82"/>
        <v>0</v>
      </c>
      <c r="W246" s="884">
        <f>W247+W257</f>
        <v>56349354426</v>
      </c>
      <c r="X246" s="884">
        <f t="shared" si="82"/>
        <v>8552656000</v>
      </c>
      <c r="Y246" s="884">
        <f t="shared" si="82"/>
        <v>153061701734</v>
      </c>
    </row>
    <row r="247" spans="1:25" ht="15" customHeight="1">
      <c r="A247" s="901" t="s">
        <v>108</v>
      </c>
      <c r="B247" s="902" t="s">
        <v>5</v>
      </c>
      <c r="C247" s="931"/>
      <c r="D247" s="870"/>
      <c r="E247" s="901"/>
      <c r="F247" s="886">
        <f>SUM(F248:F256)</f>
        <v>395777000000</v>
      </c>
      <c r="G247" s="886">
        <f>SUM(G248:G256)</f>
        <v>84219245308</v>
      </c>
      <c r="H247" s="886">
        <f t="shared" ref="H247:Y247" si="83">SUM(H248:H256)</f>
        <v>0</v>
      </c>
      <c r="I247" s="886">
        <f t="shared" si="83"/>
        <v>0</v>
      </c>
      <c r="J247" s="886">
        <f t="shared" si="83"/>
        <v>0</v>
      </c>
      <c r="K247" s="886">
        <f t="shared" si="83"/>
        <v>0</v>
      </c>
      <c r="L247" s="886">
        <f t="shared" si="83"/>
        <v>0</v>
      </c>
      <c r="M247" s="886">
        <f t="shared" si="83"/>
        <v>0</v>
      </c>
      <c r="N247" s="886">
        <f t="shared" si="83"/>
        <v>0</v>
      </c>
      <c r="O247" s="886">
        <f t="shared" si="83"/>
        <v>0</v>
      </c>
      <c r="P247" s="886">
        <f t="shared" si="83"/>
        <v>0</v>
      </c>
      <c r="Q247" s="886">
        <f t="shared" si="83"/>
        <v>28661000000</v>
      </c>
      <c r="R247" s="886">
        <f t="shared" si="83"/>
        <v>28499903426</v>
      </c>
      <c r="S247" s="886">
        <f t="shared" si="83"/>
        <v>23895331426</v>
      </c>
      <c r="T247" s="886">
        <f t="shared" si="83"/>
        <v>4604572000</v>
      </c>
      <c r="U247" s="886">
        <f t="shared" si="83"/>
        <v>0</v>
      </c>
      <c r="V247" s="886">
        <f t="shared" si="83"/>
        <v>0</v>
      </c>
      <c r="W247" s="886">
        <f>SUM(W248:W256)</f>
        <v>23895331426</v>
      </c>
      <c r="X247" s="886">
        <f t="shared" si="83"/>
        <v>4604572000</v>
      </c>
      <c r="Y247" s="886">
        <f t="shared" si="83"/>
        <v>112719148734</v>
      </c>
    </row>
    <row r="248" spans="1:25" ht="24.95" customHeight="1">
      <c r="A248" s="898">
        <v>1</v>
      </c>
      <c r="B248" s="865" t="s">
        <v>991</v>
      </c>
      <c r="C248" s="919" t="s">
        <v>835</v>
      </c>
      <c r="D248" s="870" t="s">
        <v>825</v>
      </c>
      <c r="E248" s="863">
        <v>7275587</v>
      </c>
      <c r="F248" s="862">
        <v>39997000000</v>
      </c>
      <c r="G248" s="862">
        <v>27190809999</v>
      </c>
      <c r="H248" s="862"/>
      <c r="I248" s="862"/>
      <c r="J248" s="862"/>
      <c r="K248" s="862"/>
      <c r="L248" s="862"/>
      <c r="M248" s="862"/>
      <c r="N248" s="862"/>
      <c r="O248" s="862"/>
      <c r="P248" s="862"/>
      <c r="Q248" s="862">
        <v>6000000000</v>
      </c>
      <c r="R248" s="862">
        <f t="shared" si="76"/>
        <v>6000000000</v>
      </c>
      <c r="S248" s="862">
        <v>2042518000</v>
      </c>
      <c r="T248" s="862">
        <v>3957482000</v>
      </c>
      <c r="U248" s="862"/>
      <c r="V248" s="862"/>
      <c r="W248" s="862">
        <f t="shared" ref="W248:W311" si="84">J248+M248+S248</f>
        <v>2042518000</v>
      </c>
      <c r="X248" s="862">
        <f t="shared" ref="X248:X311" si="85">H248-I248-J248+N248+T248</f>
        <v>3957482000</v>
      </c>
      <c r="Y248" s="862">
        <f t="shared" ref="Y248:Y311" si="86">G248+L248+R248</f>
        <v>33190809999</v>
      </c>
    </row>
    <row r="249" spans="1:25" ht="24.95" customHeight="1">
      <c r="A249" s="898">
        <v>2</v>
      </c>
      <c r="B249" s="865" t="s">
        <v>992</v>
      </c>
      <c r="C249" s="919" t="s">
        <v>869</v>
      </c>
      <c r="D249" s="870" t="s">
        <v>825</v>
      </c>
      <c r="E249" s="863">
        <v>7304009</v>
      </c>
      <c r="F249" s="862">
        <v>15219000000</v>
      </c>
      <c r="G249" s="862">
        <v>10601739000</v>
      </c>
      <c r="H249" s="862"/>
      <c r="I249" s="862"/>
      <c r="J249" s="862"/>
      <c r="K249" s="862"/>
      <c r="L249" s="862"/>
      <c r="M249" s="862"/>
      <c r="N249" s="862"/>
      <c r="O249" s="862"/>
      <c r="P249" s="862"/>
      <c r="Q249" s="862">
        <v>175000000</v>
      </c>
      <c r="R249" s="862">
        <f t="shared" si="76"/>
        <v>174705100</v>
      </c>
      <c r="S249" s="862">
        <v>174705100</v>
      </c>
      <c r="T249" s="862">
        <v>0</v>
      </c>
      <c r="U249" s="862"/>
      <c r="V249" s="862"/>
      <c r="W249" s="862">
        <f t="shared" si="84"/>
        <v>174705100</v>
      </c>
      <c r="X249" s="862">
        <f t="shared" si="85"/>
        <v>0</v>
      </c>
      <c r="Y249" s="862">
        <f t="shared" si="86"/>
        <v>10776444100</v>
      </c>
    </row>
    <row r="250" spans="1:25" ht="15" customHeight="1">
      <c r="A250" s="898">
        <v>3</v>
      </c>
      <c r="B250" s="899" t="s">
        <v>579</v>
      </c>
      <c r="C250" s="919" t="s">
        <v>840</v>
      </c>
      <c r="D250" s="870" t="s">
        <v>825</v>
      </c>
      <c r="E250" s="898">
        <v>7171773</v>
      </c>
      <c r="F250" s="862">
        <v>221250000000</v>
      </c>
      <c r="G250" s="862">
        <v>17903729609</v>
      </c>
      <c r="H250" s="862"/>
      <c r="I250" s="862"/>
      <c r="J250" s="862"/>
      <c r="K250" s="862"/>
      <c r="L250" s="862"/>
      <c r="M250" s="862"/>
      <c r="N250" s="862"/>
      <c r="O250" s="862"/>
      <c r="P250" s="862"/>
      <c r="Q250" s="862">
        <v>727000000</v>
      </c>
      <c r="R250" s="862">
        <f t="shared" si="76"/>
        <v>726520226</v>
      </c>
      <c r="S250" s="862">
        <v>726520226</v>
      </c>
      <c r="T250" s="862">
        <v>0</v>
      </c>
      <c r="U250" s="862"/>
      <c r="V250" s="862"/>
      <c r="W250" s="862">
        <f t="shared" si="84"/>
        <v>726520226</v>
      </c>
      <c r="X250" s="862">
        <f t="shared" si="85"/>
        <v>0</v>
      </c>
      <c r="Y250" s="862">
        <f t="shared" si="86"/>
        <v>18630249835</v>
      </c>
    </row>
    <row r="251" spans="1:25" ht="24.95" customHeight="1">
      <c r="A251" s="898">
        <v>4</v>
      </c>
      <c r="B251" s="899" t="s">
        <v>993</v>
      </c>
      <c r="C251" s="919" t="s">
        <v>840</v>
      </c>
      <c r="D251" s="870" t="s">
        <v>825</v>
      </c>
      <c r="E251" s="898">
        <v>7372218</v>
      </c>
      <c r="F251" s="862">
        <v>17659000000</v>
      </c>
      <c r="G251" s="862">
        <v>5117748200</v>
      </c>
      <c r="H251" s="862"/>
      <c r="I251" s="862"/>
      <c r="J251" s="862"/>
      <c r="K251" s="862"/>
      <c r="L251" s="862"/>
      <c r="M251" s="862"/>
      <c r="N251" s="862"/>
      <c r="O251" s="862"/>
      <c r="P251" s="862"/>
      <c r="Q251" s="862">
        <v>9530000000</v>
      </c>
      <c r="R251" s="862">
        <f t="shared" si="76"/>
        <v>9526182800</v>
      </c>
      <c r="S251" s="862">
        <v>9526182800</v>
      </c>
      <c r="T251" s="862">
        <v>0</v>
      </c>
      <c r="U251" s="862"/>
      <c r="V251" s="862"/>
      <c r="W251" s="862">
        <f t="shared" si="84"/>
        <v>9526182800</v>
      </c>
      <c r="X251" s="862">
        <f t="shared" si="85"/>
        <v>0</v>
      </c>
      <c r="Y251" s="862">
        <f t="shared" si="86"/>
        <v>14643931000</v>
      </c>
    </row>
    <row r="252" spans="1:25" ht="24.95" customHeight="1">
      <c r="A252" s="898">
        <v>5</v>
      </c>
      <c r="B252" s="899" t="s">
        <v>994</v>
      </c>
      <c r="C252" s="919" t="s">
        <v>847</v>
      </c>
      <c r="D252" s="870" t="s">
        <v>825</v>
      </c>
      <c r="E252" s="898">
        <v>7542990</v>
      </c>
      <c r="F252" s="862">
        <v>6012000000</v>
      </c>
      <c r="G252" s="862">
        <v>2500000000</v>
      </c>
      <c r="H252" s="862"/>
      <c r="I252" s="862"/>
      <c r="J252" s="862"/>
      <c r="K252" s="862"/>
      <c r="L252" s="862"/>
      <c r="M252" s="862"/>
      <c r="N252" s="862"/>
      <c r="O252" s="862"/>
      <c r="P252" s="862"/>
      <c r="Q252" s="862">
        <v>1846000000</v>
      </c>
      <c r="R252" s="862">
        <f t="shared" si="76"/>
        <v>1845514000</v>
      </c>
      <c r="S252" s="862">
        <v>1845514000</v>
      </c>
      <c r="T252" s="862">
        <v>0</v>
      </c>
      <c r="U252" s="862"/>
      <c r="V252" s="862"/>
      <c r="W252" s="862">
        <f t="shared" si="84"/>
        <v>1845514000</v>
      </c>
      <c r="X252" s="862">
        <f t="shared" si="85"/>
        <v>0</v>
      </c>
      <c r="Y252" s="862">
        <f t="shared" si="86"/>
        <v>4345514000</v>
      </c>
    </row>
    <row r="253" spans="1:25" ht="32.1" customHeight="1">
      <c r="A253" s="898">
        <v>6</v>
      </c>
      <c r="B253" s="899" t="s">
        <v>995</v>
      </c>
      <c r="C253" s="919" t="s">
        <v>840</v>
      </c>
      <c r="D253" s="870" t="s">
        <v>825</v>
      </c>
      <c r="E253" s="898">
        <v>7258703</v>
      </c>
      <c r="F253" s="862">
        <v>46868000000</v>
      </c>
      <c r="G253" s="862">
        <v>2520548000</v>
      </c>
      <c r="H253" s="862"/>
      <c r="I253" s="862"/>
      <c r="J253" s="862"/>
      <c r="K253" s="862"/>
      <c r="L253" s="862"/>
      <c r="M253" s="862"/>
      <c r="N253" s="862"/>
      <c r="O253" s="862"/>
      <c r="P253" s="862"/>
      <c r="Q253" s="862">
        <v>8500000000</v>
      </c>
      <c r="R253" s="862">
        <f t="shared" si="76"/>
        <v>8499995000</v>
      </c>
      <c r="S253" s="862">
        <v>7879995000</v>
      </c>
      <c r="T253" s="862">
        <v>620000000</v>
      </c>
      <c r="U253" s="862"/>
      <c r="V253" s="862"/>
      <c r="W253" s="862">
        <f t="shared" si="84"/>
        <v>7879995000</v>
      </c>
      <c r="X253" s="862">
        <f t="shared" si="85"/>
        <v>620000000</v>
      </c>
      <c r="Y253" s="862">
        <f t="shared" si="86"/>
        <v>11020543000</v>
      </c>
    </row>
    <row r="254" spans="1:25" ht="24.95" customHeight="1">
      <c r="A254" s="918">
        <v>7</v>
      </c>
      <c r="B254" s="899" t="s">
        <v>996</v>
      </c>
      <c r="C254" s="919" t="s">
        <v>997</v>
      </c>
      <c r="D254" s="870" t="s">
        <v>825</v>
      </c>
      <c r="E254" s="898">
        <v>7528335</v>
      </c>
      <c r="F254" s="862">
        <v>3886000000</v>
      </c>
      <c r="G254" s="862">
        <v>3140049000</v>
      </c>
      <c r="H254" s="862"/>
      <c r="I254" s="862"/>
      <c r="J254" s="862"/>
      <c r="K254" s="862"/>
      <c r="L254" s="862"/>
      <c r="M254" s="862"/>
      <c r="N254" s="862"/>
      <c r="O254" s="862"/>
      <c r="P254" s="862"/>
      <c r="Q254" s="862">
        <v>149000000</v>
      </c>
      <c r="R254" s="862">
        <f t="shared" si="76"/>
        <v>148501000</v>
      </c>
      <c r="S254" s="862">
        <v>148501000</v>
      </c>
      <c r="T254" s="862">
        <v>0</v>
      </c>
      <c r="U254" s="862"/>
      <c r="V254" s="862"/>
      <c r="W254" s="862">
        <f t="shared" si="84"/>
        <v>148501000</v>
      </c>
      <c r="X254" s="862">
        <f t="shared" si="85"/>
        <v>0</v>
      </c>
      <c r="Y254" s="862">
        <f t="shared" si="86"/>
        <v>3288550000</v>
      </c>
    </row>
    <row r="255" spans="1:25" ht="32.1" customHeight="1">
      <c r="A255" s="898">
        <v>8</v>
      </c>
      <c r="B255" s="899" t="s">
        <v>998</v>
      </c>
      <c r="C255" s="919" t="s">
        <v>997</v>
      </c>
      <c r="D255" s="870" t="s">
        <v>825</v>
      </c>
      <c r="E255" s="898">
        <v>7541078</v>
      </c>
      <c r="F255" s="862">
        <v>1771000000</v>
      </c>
      <c r="G255" s="862">
        <v>400000000</v>
      </c>
      <c r="H255" s="862"/>
      <c r="I255" s="862"/>
      <c r="J255" s="862"/>
      <c r="K255" s="862"/>
      <c r="L255" s="862"/>
      <c r="M255" s="862"/>
      <c r="N255" s="862"/>
      <c r="O255" s="862"/>
      <c r="P255" s="862"/>
      <c r="Q255" s="862">
        <v>1368000000</v>
      </c>
      <c r="R255" s="862">
        <f t="shared" si="76"/>
        <v>1212892300</v>
      </c>
      <c r="S255" s="862">
        <v>1185802300</v>
      </c>
      <c r="T255" s="862">
        <v>27090000</v>
      </c>
      <c r="U255" s="862"/>
      <c r="V255" s="862"/>
      <c r="W255" s="862">
        <f t="shared" si="84"/>
        <v>1185802300</v>
      </c>
      <c r="X255" s="862">
        <f t="shared" si="85"/>
        <v>27090000</v>
      </c>
      <c r="Y255" s="862">
        <f t="shared" si="86"/>
        <v>1612892300</v>
      </c>
    </row>
    <row r="256" spans="1:25" ht="24.95" customHeight="1">
      <c r="A256" s="898">
        <v>10</v>
      </c>
      <c r="B256" s="899" t="s">
        <v>580</v>
      </c>
      <c r="C256" s="919" t="s">
        <v>999</v>
      </c>
      <c r="D256" s="870" t="s">
        <v>825</v>
      </c>
      <c r="E256" s="898">
        <v>7235549</v>
      </c>
      <c r="F256" s="862">
        <v>43115000000</v>
      </c>
      <c r="G256" s="862">
        <v>14844621500</v>
      </c>
      <c r="H256" s="862"/>
      <c r="I256" s="862"/>
      <c r="J256" s="862"/>
      <c r="K256" s="862"/>
      <c r="L256" s="862"/>
      <c r="M256" s="862"/>
      <c r="N256" s="862"/>
      <c r="O256" s="862"/>
      <c r="P256" s="862"/>
      <c r="Q256" s="862">
        <v>366000000</v>
      </c>
      <c r="R256" s="862">
        <f t="shared" si="76"/>
        <v>365593000</v>
      </c>
      <c r="S256" s="862">
        <v>365593000</v>
      </c>
      <c r="T256" s="862">
        <v>0</v>
      </c>
      <c r="U256" s="862"/>
      <c r="V256" s="862"/>
      <c r="W256" s="862">
        <f t="shared" si="84"/>
        <v>365593000</v>
      </c>
      <c r="X256" s="862">
        <f t="shared" si="85"/>
        <v>0</v>
      </c>
      <c r="Y256" s="862">
        <f t="shared" si="86"/>
        <v>15210214500</v>
      </c>
    </row>
    <row r="257" spans="1:25" ht="15" customHeight="1">
      <c r="A257" s="935" t="s">
        <v>112</v>
      </c>
      <c r="B257" s="925" t="s">
        <v>564</v>
      </c>
      <c r="C257" s="931"/>
      <c r="D257" s="870"/>
      <c r="E257" s="926"/>
      <c r="F257" s="886">
        <f>SUM(F258:F262)</f>
        <v>73017000000</v>
      </c>
      <c r="G257" s="886">
        <f>SUM(G258:G262)</f>
        <v>3940446000</v>
      </c>
      <c r="H257" s="886">
        <f t="shared" ref="H257:Y257" si="87">SUM(H258:H262)</f>
        <v>0</v>
      </c>
      <c r="I257" s="886">
        <f t="shared" si="87"/>
        <v>0</v>
      </c>
      <c r="J257" s="886">
        <f t="shared" si="87"/>
        <v>0</v>
      </c>
      <c r="K257" s="886">
        <f t="shared" si="87"/>
        <v>0</v>
      </c>
      <c r="L257" s="886">
        <f t="shared" si="87"/>
        <v>0</v>
      </c>
      <c r="M257" s="886">
        <f t="shared" si="87"/>
        <v>0</v>
      </c>
      <c r="N257" s="886">
        <f t="shared" si="87"/>
        <v>0</v>
      </c>
      <c r="O257" s="886">
        <f t="shared" si="87"/>
        <v>0</v>
      </c>
      <c r="P257" s="886">
        <f t="shared" si="87"/>
        <v>0</v>
      </c>
      <c r="Q257" s="886">
        <f t="shared" si="87"/>
        <v>36495000000</v>
      </c>
      <c r="R257" s="886">
        <f t="shared" si="87"/>
        <v>36402107000</v>
      </c>
      <c r="S257" s="886">
        <f t="shared" si="87"/>
        <v>32454023000</v>
      </c>
      <c r="T257" s="886">
        <f t="shared" si="87"/>
        <v>3948084000</v>
      </c>
      <c r="U257" s="886">
        <f t="shared" si="87"/>
        <v>0</v>
      </c>
      <c r="V257" s="886">
        <f t="shared" si="87"/>
        <v>0</v>
      </c>
      <c r="W257" s="886">
        <f>SUM(W258:W262)</f>
        <v>32454023000</v>
      </c>
      <c r="X257" s="886">
        <f t="shared" si="87"/>
        <v>3948084000</v>
      </c>
      <c r="Y257" s="886">
        <f t="shared" si="87"/>
        <v>40342553000</v>
      </c>
    </row>
    <row r="258" spans="1:25" ht="24.95" customHeight="1">
      <c r="A258" s="918">
        <v>1</v>
      </c>
      <c r="B258" s="899" t="s">
        <v>1000</v>
      </c>
      <c r="C258" s="919" t="s">
        <v>840</v>
      </c>
      <c r="D258" s="870" t="s">
        <v>825</v>
      </c>
      <c r="E258" s="898">
        <v>7231951</v>
      </c>
      <c r="F258" s="862">
        <v>40583000000</v>
      </c>
      <c r="G258" s="862">
        <v>3544193000</v>
      </c>
      <c r="H258" s="862"/>
      <c r="I258" s="862"/>
      <c r="J258" s="862"/>
      <c r="K258" s="862"/>
      <c r="L258" s="862"/>
      <c r="M258" s="862"/>
      <c r="N258" s="862"/>
      <c r="O258" s="862"/>
      <c r="P258" s="862"/>
      <c r="Q258" s="862">
        <v>15330000000</v>
      </c>
      <c r="R258" s="862">
        <f t="shared" si="76"/>
        <v>15330000000</v>
      </c>
      <c r="S258" s="862">
        <v>12201600000</v>
      </c>
      <c r="T258" s="862">
        <v>3128400000</v>
      </c>
      <c r="U258" s="862"/>
      <c r="V258" s="862"/>
      <c r="W258" s="862">
        <f t="shared" si="84"/>
        <v>12201600000</v>
      </c>
      <c r="X258" s="862">
        <f t="shared" si="85"/>
        <v>3128400000</v>
      </c>
      <c r="Y258" s="862">
        <f t="shared" si="86"/>
        <v>18874193000</v>
      </c>
    </row>
    <row r="259" spans="1:25" ht="24.95" customHeight="1">
      <c r="A259" s="918">
        <v>2</v>
      </c>
      <c r="B259" s="899" t="s">
        <v>1001</v>
      </c>
      <c r="C259" s="919" t="s">
        <v>997</v>
      </c>
      <c r="D259" s="870" t="s">
        <v>825</v>
      </c>
      <c r="E259" s="898">
        <v>7584202</v>
      </c>
      <c r="F259" s="862">
        <v>2920000000</v>
      </c>
      <c r="G259" s="862">
        <v>130000000</v>
      </c>
      <c r="H259" s="862"/>
      <c r="I259" s="862"/>
      <c r="J259" s="862"/>
      <c r="K259" s="862"/>
      <c r="L259" s="862"/>
      <c r="M259" s="862"/>
      <c r="N259" s="862"/>
      <c r="O259" s="862"/>
      <c r="P259" s="862"/>
      <c r="Q259" s="862">
        <v>2460000000</v>
      </c>
      <c r="R259" s="862">
        <f t="shared" si="76"/>
        <v>2367194000</v>
      </c>
      <c r="S259" s="862">
        <v>2320962000</v>
      </c>
      <c r="T259" s="862">
        <v>46232000</v>
      </c>
      <c r="U259" s="862"/>
      <c r="V259" s="862"/>
      <c r="W259" s="862">
        <f t="shared" si="84"/>
        <v>2320962000</v>
      </c>
      <c r="X259" s="862">
        <f t="shared" si="85"/>
        <v>46232000</v>
      </c>
      <c r="Y259" s="862">
        <f t="shared" si="86"/>
        <v>2497194000</v>
      </c>
    </row>
    <row r="260" spans="1:25" ht="32.1" customHeight="1">
      <c r="A260" s="918">
        <v>3</v>
      </c>
      <c r="B260" s="899" t="s">
        <v>1002</v>
      </c>
      <c r="C260" s="919" t="s">
        <v>840</v>
      </c>
      <c r="D260" s="870" t="s">
        <v>825</v>
      </c>
      <c r="E260" s="898">
        <v>7567513</v>
      </c>
      <c r="F260" s="862">
        <v>7011000000</v>
      </c>
      <c r="G260" s="862"/>
      <c r="H260" s="862"/>
      <c r="I260" s="862"/>
      <c r="J260" s="862"/>
      <c r="K260" s="862"/>
      <c r="L260" s="862"/>
      <c r="M260" s="862"/>
      <c r="N260" s="862"/>
      <c r="O260" s="862"/>
      <c r="P260" s="862"/>
      <c r="Q260" s="862">
        <v>6705000000</v>
      </c>
      <c r="R260" s="862">
        <f t="shared" si="76"/>
        <v>6704913000</v>
      </c>
      <c r="S260" s="862">
        <v>6704913000</v>
      </c>
      <c r="T260" s="862">
        <v>0</v>
      </c>
      <c r="U260" s="862"/>
      <c r="V260" s="862"/>
      <c r="W260" s="862">
        <f t="shared" si="84"/>
        <v>6704913000</v>
      </c>
      <c r="X260" s="862">
        <f t="shared" si="85"/>
        <v>0</v>
      </c>
      <c r="Y260" s="862">
        <f t="shared" si="86"/>
        <v>6704913000</v>
      </c>
    </row>
    <row r="261" spans="1:25" ht="32.1" customHeight="1">
      <c r="A261" s="918">
        <v>4</v>
      </c>
      <c r="B261" s="899" t="s">
        <v>1003</v>
      </c>
      <c r="C261" s="919" t="s">
        <v>840</v>
      </c>
      <c r="D261" s="870" t="s">
        <v>825</v>
      </c>
      <c r="E261" s="898">
        <v>7567510</v>
      </c>
      <c r="F261" s="862">
        <v>8534000000</v>
      </c>
      <c r="G261" s="862">
        <v>266253000</v>
      </c>
      <c r="H261" s="862"/>
      <c r="I261" s="862"/>
      <c r="J261" s="862"/>
      <c r="K261" s="862"/>
      <c r="L261" s="862"/>
      <c r="M261" s="862"/>
      <c r="N261" s="862"/>
      <c r="O261" s="862"/>
      <c r="P261" s="862"/>
      <c r="Q261" s="862">
        <v>5000000000</v>
      </c>
      <c r="R261" s="862">
        <f t="shared" si="76"/>
        <v>5000000000</v>
      </c>
      <c r="S261" s="862">
        <v>4226548000</v>
      </c>
      <c r="T261" s="862">
        <v>773452000</v>
      </c>
      <c r="U261" s="862"/>
      <c r="V261" s="862"/>
      <c r="W261" s="862">
        <f t="shared" si="84"/>
        <v>4226548000</v>
      </c>
      <c r="X261" s="862">
        <f t="shared" si="85"/>
        <v>773452000</v>
      </c>
      <c r="Y261" s="862">
        <f t="shared" si="86"/>
        <v>5266253000</v>
      </c>
    </row>
    <row r="262" spans="1:25" ht="24.95" customHeight="1">
      <c r="A262" s="918">
        <v>5</v>
      </c>
      <c r="B262" s="899" t="s">
        <v>1004</v>
      </c>
      <c r="C262" s="919" t="s">
        <v>875</v>
      </c>
      <c r="D262" s="870" t="s">
        <v>825</v>
      </c>
      <c r="E262" s="898">
        <v>7604195</v>
      </c>
      <c r="F262" s="862">
        <v>13969000000</v>
      </c>
      <c r="G262" s="862"/>
      <c r="H262" s="862"/>
      <c r="I262" s="862"/>
      <c r="J262" s="862"/>
      <c r="K262" s="862"/>
      <c r="L262" s="862"/>
      <c r="M262" s="862"/>
      <c r="N262" s="862"/>
      <c r="O262" s="862"/>
      <c r="P262" s="862"/>
      <c r="Q262" s="862">
        <v>7000000000</v>
      </c>
      <c r="R262" s="862">
        <f t="shared" si="76"/>
        <v>7000000000</v>
      </c>
      <c r="S262" s="862">
        <v>7000000000</v>
      </c>
      <c r="T262" s="862">
        <v>0</v>
      </c>
      <c r="U262" s="862"/>
      <c r="V262" s="862"/>
      <c r="W262" s="862">
        <f t="shared" si="84"/>
        <v>7000000000</v>
      </c>
      <c r="X262" s="862">
        <f t="shared" si="85"/>
        <v>0</v>
      </c>
      <c r="Y262" s="862">
        <f t="shared" si="86"/>
        <v>7000000000</v>
      </c>
    </row>
    <row r="263" spans="1:25" ht="24.95" customHeight="1">
      <c r="A263" s="914" t="s">
        <v>582</v>
      </c>
      <c r="B263" s="916" t="s">
        <v>583</v>
      </c>
      <c r="C263" s="936"/>
      <c r="D263" s="870"/>
      <c r="E263" s="912"/>
      <c r="F263" s="884">
        <f>F264+F276+F280</f>
        <v>1956139000000</v>
      </c>
      <c r="G263" s="884">
        <f>G264+G276+G280</f>
        <v>610357946921</v>
      </c>
      <c r="H263" s="884">
        <f t="shared" ref="H263:Y263" si="88">H264+H276+H280</f>
        <v>0</v>
      </c>
      <c r="I263" s="884">
        <f t="shared" si="88"/>
        <v>0</v>
      </c>
      <c r="J263" s="884">
        <f t="shared" si="88"/>
        <v>0</v>
      </c>
      <c r="K263" s="884">
        <f t="shared" si="88"/>
        <v>0</v>
      </c>
      <c r="L263" s="884">
        <f t="shared" si="88"/>
        <v>0</v>
      </c>
      <c r="M263" s="884">
        <f t="shared" si="88"/>
        <v>0</v>
      </c>
      <c r="N263" s="884">
        <f t="shared" si="88"/>
        <v>0</v>
      </c>
      <c r="O263" s="884">
        <f t="shared" si="88"/>
        <v>0</v>
      </c>
      <c r="P263" s="884">
        <f t="shared" si="88"/>
        <v>0</v>
      </c>
      <c r="Q263" s="884">
        <f t="shared" si="88"/>
        <v>228549000000</v>
      </c>
      <c r="R263" s="884">
        <f t="shared" si="88"/>
        <v>227452191168</v>
      </c>
      <c r="S263" s="884">
        <f t="shared" si="88"/>
        <v>202969106014</v>
      </c>
      <c r="T263" s="884">
        <f t="shared" si="88"/>
        <v>24483085154</v>
      </c>
      <c r="U263" s="884">
        <f t="shared" si="88"/>
        <v>0</v>
      </c>
      <c r="V263" s="884">
        <f t="shared" si="88"/>
        <v>0</v>
      </c>
      <c r="W263" s="884">
        <f>W264+W276+W280</f>
        <v>202969106014</v>
      </c>
      <c r="X263" s="884">
        <f t="shared" si="88"/>
        <v>24483085154</v>
      </c>
      <c r="Y263" s="884">
        <f t="shared" si="88"/>
        <v>837810138089</v>
      </c>
    </row>
    <row r="264" spans="1:25" ht="24.95" customHeight="1">
      <c r="A264" s="895" t="s">
        <v>108</v>
      </c>
      <c r="B264" s="896" t="s">
        <v>1005</v>
      </c>
      <c r="C264" s="903"/>
      <c r="D264" s="870"/>
      <c r="E264" s="895"/>
      <c r="F264" s="886">
        <f>F265+F272</f>
        <v>834140000000</v>
      </c>
      <c r="G264" s="886">
        <f>G265+G272</f>
        <v>385035840274</v>
      </c>
      <c r="H264" s="886">
        <f t="shared" ref="H264:Y264" si="89">H265+H272</f>
        <v>0</v>
      </c>
      <c r="I264" s="886">
        <f t="shared" si="89"/>
        <v>0</v>
      </c>
      <c r="J264" s="886">
        <f t="shared" si="89"/>
        <v>0</v>
      </c>
      <c r="K264" s="886">
        <f t="shared" si="89"/>
        <v>0</v>
      </c>
      <c r="L264" s="886">
        <f t="shared" si="89"/>
        <v>0</v>
      </c>
      <c r="M264" s="886">
        <f t="shared" si="89"/>
        <v>0</v>
      </c>
      <c r="N264" s="886">
        <f t="shared" si="89"/>
        <v>0</v>
      </c>
      <c r="O264" s="886">
        <f t="shared" si="89"/>
        <v>0</v>
      </c>
      <c r="P264" s="886">
        <f t="shared" si="89"/>
        <v>0</v>
      </c>
      <c r="Q264" s="886">
        <f t="shared" si="89"/>
        <v>96641000000</v>
      </c>
      <c r="R264" s="886">
        <f t="shared" si="89"/>
        <v>95824035870</v>
      </c>
      <c r="S264" s="886">
        <f t="shared" si="89"/>
        <v>78960313961</v>
      </c>
      <c r="T264" s="886">
        <f t="shared" si="89"/>
        <v>16863721909</v>
      </c>
      <c r="U264" s="886">
        <f t="shared" si="89"/>
        <v>0</v>
      </c>
      <c r="V264" s="886">
        <f t="shared" si="89"/>
        <v>0</v>
      </c>
      <c r="W264" s="886">
        <f>W265+W272</f>
        <v>78960313961</v>
      </c>
      <c r="X264" s="886">
        <f t="shared" si="89"/>
        <v>16863721909</v>
      </c>
      <c r="Y264" s="886">
        <f t="shared" si="89"/>
        <v>480859876144</v>
      </c>
    </row>
    <row r="265" spans="1:25" ht="15" customHeight="1">
      <c r="A265" s="895"/>
      <c r="B265" s="896" t="s">
        <v>5</v>
      </c>
      <c r="C265" s="903"/>
      <c r="D265" s="870"/>
      <c r="E265" s="895"/>
      <c r="F265" s="886">
        <f>SUM(F266:F271)</f>
        <v>773093000000</v>
      </c>
      <c r="G265" s="886">
        <f>SUM(G266:G271)</f>
        <v>383963840274</v>
      </c>
      <c r="H265" s="886">
        <f t="shared" ref="H265:Y265" si="90">SUM(H266:H271)</f>
        <v>0</v>
      </c>
      <c r="I265" s="886">
        <f t="shared" si="90"/>
        <v>0</v>
      </c>
      <c r="J265" s="886">
        <f t="shared" si="90"/>
        <v>0</v>
      </c>
      <c r="K265" s="886">
        <f t="shared" si="90"/>
        <v>0</v>
      </c>
      <c r="L265" s="886">
        <f t="shared" si="90"/>
        <v>0</v>
      </c>
      <c r="M265" s="886">
        <f t="shared" si="90"/>
        <v>0</v>
      </c>
      <c r="N265" s="886">
        <f t="shared" si="90"/>
        <v>0</v>
      </c>
      <c r="O265" s="886">
        <f t="shared" si="90"/>
        <v>0</v>
      </c>
      <c r="P265" s="886">
        <f t="shared" si="90"/>
        <v>0</v>
      </c>
      <c r="Q265" s="886">
        <f t="shared" si="90"/>
        <v>68800000000</v>
      </c>
      <c r="R265" s="886">
        <f t="shared" si="90"/>
        <v>68011365870</v>
      </c>
      <c r="S265" s="886">
        <f t="shared" si="90"/>
        <v>59104289290</v>
      </c>
      <c r="T265" s="886">
        <f t="shared" si="90"/>
        <v>8907076580</v>
      </c>
      <c r="U265" s="886">
        <f t="shared" si="90"/>
        <v>0</v>
      </c>
      <c r="V265" s="886">
        <f t="shared" si="90"/>
        <v>0</v>
      </c>
      <c r="W265" s="886">
        <f>SUM(W266:W271)</f>
        <v>59104289290</v>
      </c>
      <c r="X265" s="886">
        <f t="shared" si="90"/>
        <v>8907076580</v>
      </c>
      <c r="Y265" s="886">
        <f t="shared" si="90"/>
        <v>451975206144</v>
      </c>
    </row>
    <row r="266" spans="1:25" ht="24.95" customHeight="1">
      <c r="A266" s="898">
        <v>1</v>
      </c>
      <c r="B266" s="909" t="s">
        <v>1006</v>
      </c>
      <c r="C266" s="900" t="s">
        <v>847</v>
      </c>
      <c r="D266" s="870" t="s">
        <v>825</v>
      </c>
      <c r="E266" s="910" t="s">
        <v>586</v>
      </c>
      <c r="F266" s="862">
        <v>114749000000</v>
      </c>
      <c r="G266" s="862">
        <v>66723000000</v>
      </c>
      <c r="H266" s="862"/>
      <c r="I266" s="862"/>
      <c r="J266" s="862"/>
      <c r="K266" s="862"/>
      <c r="L266" s="862"/>
      <c r="M266" s="862"/>
      <c r="N266" s="862"/>
      <c r="O266" s="862"/>
      <c r="P266" s="862"/>
      <c r="Q266" s="862">
        <v>13950000000</v>
      </c>
      <c r="R266" s="862">
        <f t="shared" ref="R266:R316" si="91">SUM(S266:T266)</f>
        <v>13950000000</v>
      </c>
      <c r="S266" s="862">
        <v>13950000000</v>
      </c>
      <c r="T266" s="862">
        <v>0</v>
      </c>
      <c r="U266" s="862"/>
      <c r="V266" s="862"/>
      <c r="W266" s="862">
        <f t="shared" si="84"/>
        <v>13950000000</v>
      </c>
      <c r="X266" s="862">
        <f t="shared" si="85"/>
        <v>0</v>
      </c>
      <c r="Y266" s="862">
        <f t="shared" si="86"/>
        <v>80673000000</v>
      </c>
    </row>
    <row r="267" spans="1:25" ht="24.95" customHeight="1">
      <c r="A267" s="898">
        <v>2</v>
      </c>
      <c r="B267" s="909" t="s">
        <v>1007</v>
      </c>
      <c r="C267" s="900" t="s">
        <v>848</v>
      </c>
      <c r="D267" s="870" t="s">
        <v>825</v>
      </c>
      <c r="E267" s="910" t="s">
        <v>587</v>
      </c>
      <c r="F267" s="862">
        <v>249113000000</v>
      </c>
      <c r="G267" s="862">
        <v>161084551913</v>
      </c>
      <c r="H267" s="862"/>
      <c r="I267" s="862"/>
      <c r="J267" s="862"/>
      <c r="K267" s="862"/>
      <c r="L267" s="862"/>
      <c r="M267" s="862"/>
      <c r="N267" s="862"/>
      <c r="O267" s="862"/>
      <c r="P267" s="862"/>
      <c r="Q267" s="862">
        <v>20000000000</v>
      </c>
      <c r="R267" s="862">
        <f t="shared" si="91"/>
        <v>20000000000</v>
      </c>
      <c r="S267" s="862">
        <v>12896212640</v>
      </c>
      <c r="T267" s="862">
        <v>7103787360</v>
      </c>
      <c r="U267" s="862"/>
      <c r="V267" s="862"/>
      <c r="W267" s="862">
        <f t="shared" si="84"/>
        <v>12896212640</v>
      </c>
      <c r="X267" s="862">
        <f t="shared" si="85"/>
        <v>7103787360</v>
      </c>
      <c r="Y267" s="862">
        <f t="shared" si="86"/>
        <v>181084551913</v>
      </c>
    </row>
    <row r="268" spans="1:25" ht="24.95" customHeight="1">
      <c r="A268" s="898">
        <v>3</v>
      </c>
      <c r="B268" s="909" t="s">
        <v>1008</v>
      </c>
      <c r="C268" s="900" t="s">
        <v>848</v>
      </c>
      <c r="D268" s="870" t="s">
        <v>825</v>
      </c>
      <c r="E268" s="910" t="s">
        <v>590</v>
      </c>
      <c r="F268" s="862">
        <v>93996000000</v>
      </c>
      <c r="G268" s="862">
        <v>44993876361</v>
      </c>
      <c r="H268" s="862"/>
      <c r="I268" s="862"/>
      <c r="J268" s="862"/>
      <c r="K268" s="862"/>
      <c r="L268" s="862"/>
      <c r="M268" s="862"/>
      <c r="N268" s="862"/>
      <c r="O268" s="862"/>
      <c r="P268" s="862"/>
      <c r="Q268" s="862">
        <v>15000000000</v>
      </c>
      <c r="R268" s="862">
        <f t="shared" si="91"/>
        <v>15000000000</v>
      </c>
      <c r="S268" s="862">
        <v>15000000000</v>
      </c>
      <c r="T268" s="862">
        <v>0</v>
      </c>
      <c r="U268" s="862"/>
      <c r="V268" s="862"/>
      <c r="W268" s="862">
        <f t="shared" si="84"/>
        <v>15000000000</v>
      </c>
      <c r="X268" s="862">
        <f t="shared" si="85"/>
        <v>0</v>
      </c>
      <c r="Y268" s="862">
        <f t="shared" si="86"/>
        <v>59993876361</v>
      </c>
    </row>
    <row r="269" spans="1:25" ht="24.95" customHeight="1">
      <c r="A269" s="898">
        <v>4</v>
      </c>
      <c r="B269" s="909" t="s">
        <v>1009</v>
      </c>
      <c r="C269" s="900" t="s">
        <v>869</v>
      </c>
      <c r="D269" s="870" t="s">
        <v>825</v>
      </c>
      <c r="E269" s="910" t="s">
        <v>600</v>
      </c>
      <c r="F269" s="862">
        <v>152614000000</v>
      </c>
      <c r="G269" s="862">
        <v>87425996000</v>
      </c>
      <c r="H269" s="862"/>
      <c r="I269" s="862"/>
      <c r="J269" s="862"/>
      <c r="K269" s="862"/>
      <c r="L269" s="862"/>
      <c r="M269" s="862"/>
      <c r="N269" s="862"/>
      <c r="O269" s="862"/>
      <c r="P269" s="862"/>
      <c r="Q269" s="862">
        <v>1473000000</v>
      </c>
      <c r="R269" s="862">
        <f t="shared" si="91"/>
        <v>684365870</v>
      </c>
      <c r="S269" s="862">
        <v>684365870</v>
      </c>
      <c r="T269" s="862">
        <v>0</v>
      </c>
      <c r="U269" s="862"/>
      <c r="V269" s="862"/>
      <c r="W269" s="862">
        <f t="shared" si="84"/>
        <v>684365870</v>
      </c>
      <c r="X269" s="862">
        <f t="shared" si="85"/>
        <v>0</v>
      </c>
      <c r="Y269" s="862">
        <f t="shared" si="86"/>
        <v>88110361870</v>
      </c>
    </row>
    <row r="270" spans="1:25" ht="42" customHeight="1">
      <c r="A270" s="898">
        <v>5</v>
      </c>
      <c r="B270" s="909" t="s">
        <v>1010</v>
      </c>
      <c r="C270" s="900" t="s">
        <v>882</v>
      </c>
      <c r="D270" s="870" t="s">
        <v>825</v>
      </c>
      <c r="E270" s="910" t="s">
        <v>637</v>
      </c>
      <c r="F270" s="862">
        <v>126362000000</v>
      </c>
      <c r="G270" s="862">
        <v>5801797000</v>
      </c>
      <c r="H270" s="862"/>
      <c r="I270" s="862"/>
      <c r="J270" s="862"/>
      <c r="K270" s="862"/>
      <c r="L270" s="862"/>
      <c r="M270" s="862"/>
      <c r="N270" s="862"/>
      <c r="O270" s="862"/>
      <c r="P270" s="862"/>
      <c r="Q270" s="862">
        <v>5500000000</v>
      </c>
      <c r="R270" s="862">
        <f t="shared" si="91"/>
        <v>5500000000</v>
      </c>
      <c r="S270" s="862">
        <v>3812919000</v>
      </c>
      <c r="T270" s="862">
        <v>1687081000</v>
      </c>
      <c r="U270" s="862"/>
      <c r="V270" s="862"/>
      <c r="W270" s="862">
        <f t="shared" si="84"/>
        <v>3812919000</v>
      </c>
      <c r="X270" s="862">
        <f t="shared" si="85"/>
        <v>1687081000</v>
      </c>
      <c r="Y270" s="862">
        <f t="shared" si="86"/>
        <v>11301797000</v>
      </c>
    </row>
    <row r="271" spans="1:25" ht="24.95" customHeight="1">
      <c r="A271" s="898">
        <v>6</v>
      </c>
      <c r="B271" s="909" t="s">
        <v>609</v>
      </c>
      <c r="C271" s="900" t="s">
        <v>869</v>
      </c>
      <c r="D271" s="870" t="s">
        <v>825</v>
      </c>
      <c r="E271" s="910" t="s">
        <v>610</v>
      </c>
      <c r="F271" s="862">
        <v>36259000000</v>
      </c>
      <c r="G271" s="862">
        <v>17934619000</v>
      </c>
      <c r="H271" s="862"/>
      <c r="I271" s="862"/>
      <c r="J271" s="862"/>
      <c r="K271" s="862"/>
      <c r="L271" s="862"/>
      <c r="M271" s="862"/>
      <c r="N271" s="862"/>
      <c r="O271" s="862"/>
      <c r="P271" s="862"/>
      <c r="Q271" s="862">
        <v>12877000000</v>
      </c>
      <c r="R271" s="862">
        <f t="shared" si="91"/>
        <v>12877000000</v>
      </c>
      <c r="S271" s="862">
        <v>12760791780</v>
      </c>
      <c r="T271" s="862">
        <v>116208220</v>
      </c>
      <c r="U271" s="862"/>
      <c r="V271" s="862"/>
      <c r="W271" s="862">
        <f t="shared" si="84"/>
        <v>12760791780</v>
      </c>
      <c r="X271" s="862">
        <f t="shared" si="85"/>
        <v>116208220</v>
      </c>
      <c r="Y271" s="862">
        <f t="shared" si="86"/>
        <v>30811619000</v>
      </c>
    </row>
    <row r="272" spans="1:25" ht="15" customHeight="1">
      <c r="A272" s="895"/>
      <c r="B272" s="896" t="s">
        <v>564</v>
      </c>
      <c r="C272" s="903"/>
      <c r="D272" s="870"/>
      <c r="E272" s="895"/>
      <c r="F272" s="886">
        <f>SUM(F273:F275)</f>
        <v>61047000000</v>
      </c>
      <c r="G272" s="886">
        <f t="shared" ref="G272:Y272" si="92">SUM(G273:G275)</f>
        <v>1072000000</v>
      </c>
      <c r="H272" s="886">
        <f t="shared" si="92"/>
        <v>0</v>
      </c>
      <c r="I272" s="886">
        <f t="shared" si="92"/>
        <v>0</v>
      </c>
      <c r="J272" s="886">
        <f t="shared" si="92"/>
        <v>0</v>
      </c>
      <c r="K272" s="886">
        <f t="shared" si="92"/>
        <v>0</v>
      </c>
      <c r="L272" s="886">
        <f t="shared" si="92"/>
        <v>0</v>
      </c>
      <c r="M272" s="886">
        <f t="shared" si="92"/>
        <v>0</v>
      </c>
      <c r="N272" s="886">
        <f t="shared" si="92"/>
        <v>0</v>
      </c>
      <c r="O272" s="886">
        <f t="shared" si="92"/>
        <v>0</v>
      </c>
      <c r="P272" s="886">
        <f t="shared" si="92"/>
        <v>0</v>
      </c>
      <c r="Q272" s="886">
        <f t="shared" si="92"/>
        <v>27841000000</v>
      </c>
      <c r="R272" s="886">
        <f t="shared" si="92"/>
        <v>27812670000</v>
      </c>
      <c r="S272" s="886">
        <f t="shared" si="92"/>
        <v>19856024671</v>
      </c>
      <c r="T272" s="886">
        <f t="shared" si="92"/>
        <v>7956645329</v>
      </c>
      <c r="U272" s="886">
        <f t="shared" si="92"/>
        <v>0</v>
      </c>
      <c r="V272" s="886">
        <f t="shared" si="92"/>
        <v>0</v>
      </c>
      <c r="W272" s="886">
        <f>SUM(W273:W275)</f>
        <v>19856024671</v>
      </c>
      <c r="X272" s="886">
        <f t="shared" si="92"/>
        <v>7956645329</v>
      </c>
      <c r="Y272" s="886">
        <f t="shared" si="92"/>
        <v>28884670000</v>
      </c>
    </row>
    <row r="273" spans="1:25" ht="42" customHeight="1">
      <c r="A273" s="910" t="s">
        <v>103</v>
      </c>
      <c r="B273" s="909" t="s">
        <v>1011</v>
      </c>
      <c r="C273" s="900" t="s">
        <v>869</v>
      </c>
      <c r="D273" s="870" t="s">
        <v>825</v>
      </c>
      <c r="E273" s="910" t="s">
        <v>1012</v>
      </c>
      <c r="F273" s="862">
        <v>14861000000</v>
      </c>
      <c r="G273" s="862"/>
      <c r="H273" s="862"/>
      <c r="I273" s="862"/>
      <c r="J273" s="862"/>
      <c r="K273" s="862"/>
      <c r="L273" s="862"/>
      <c r="M273" s="862"/>
      <c r="N273" s="862"/>
      <c r="O273" s="862"/>
      <c r="P273" s="862"/>
      <c r="Q273" s="862">
        <v>11841000000</v>
      </c>
      <c r="R273" s="862">
        <f t="shared" si="91"/>
        <v>11812670000</v>
      </c>
      <c r="S273" s="862">
        <v>9378672000</v>
      </c>
      <c r="T273" s="862">
        <v>2433998000</v>
      </c>
      <c r="U273" s="862"/>
      <c r="V273" s="862"/>
      <c r="W273" s="862">
        <f t="shared" si="84"/>
        <v>9378672000</v>
      </c>
      <c r="X273" s="862">
        <f t="shared" si="85"/>
        <v>2433998000</v>
      </c>
      <c r="Y273" s="862">
        <f t="shared" si="86"/>
        <v>11812670000</v>
      </c>
    </row>
    <row r="274" spans="1:25" ht="42" customHeight="1">
      <c r="A274" s="898">
        <v>2</v>
      </c>
      <c r="B274" s="909" t="s">
        <v>1013</v>
      </c>
      <c r="C274" s="900" t="s">
        <v>836</v>
      </c>
      <c r="D274" s="870" t="s">
        <v>825</v>
      </c>
      <c r="E274" s="910" t="s">
        <v>1014</v>
      </c>
      <c r="F274" s="862">
        <v>31585000000</v>
      </c>
      <c r="G274" s="862">
        <v>822000000</v>
      </c>
      <c r="H274" s="862"/>
      <c r="I274" s="862"/>
      <c r="J274" s="862"/>
      <c r="K274" s="862"/>
      <c r="L274" s="862"/>
      <c r="M274" s="862"/>
      <c r="N274" s="862"/>
      <c r="O274" s="862"/>
      <c r="P274" s="862"/>
      <c r="Q274" s="862">
        <v>10000000000</v>
      </c>
      <c r="R274" s="862">
        <f t="shared" si="91"/>
        <v>10000000000</v>
      </c>
      <c r="S274" s="862">
        <v>7254264000</v>
      </c>
      <c r="T274" s="862">
        <v>2745736000</v>
      </c>
      <c r="U274" s="862"/>
      <c r="V274" s="862"/>
      <c r="W274" s="862">
        <f t="shared" si="84"/>
        <v>7254264000</v>
      </c>
      <c r="X274" s="862">
        <f t="shared" si="85"/>
        <v>2745736000</v>
      </c>
      <c r="Y274" s="862">
        <f t="shared" si="86"/>
        <v>10822000000</v>
      </c>
    </row>
    <row r="275" spans="1:25" ht="57.75" customHeight="1">
      <c r="A275" s="898">
        <v>3</v>
      </c>
      <c r="B275" s="899" t="s">
        <v>1015</v>
      </c>
      <c r="C275" s="937" t="s">
        <v>848</v>
      </c>
      <c r="D275" s="870" t="s">
        <v>825</v>
      </c>
      <c r="E275" s="898">
        <v>7555458</v>
      </c>
      <c r="F275" s="862">
        <v>14601000000</v>
      </c>
      <c r="G275" s="862">
        <v>250000000</v>
      </c>
      <c r="H275" s="862"/>
      <c r="I275" s="862"/>
      <c r="J275" s="862"/>
      <c r="K275" s="862"/>
      <c r="L275" s="862"/>
      <c r="M275" s="862"/>
      <c r="N275" s="862"/>
      <c r="O275" s="862"/>
      <c r="P275" s="862"/>
      <c r="Q275" s="862">
        <v>6000000000</v>
      </c>
      <c r="R275" s="862">
        <f t="shared" si="91"/>
        <v>6000000000</v>
      </c>
      <c r="S275" s="862">
        <v>3223088671</v>
      </c>
      <c r="T275" s="862">
        <v>2776911329</v>
      </c>
      <c r="U275" s="862"/>
      <c r="V275" s="862"/>
      <c r="W275" s="862">
        <f t="shared" si="84"/>
        <v>3223088671</v>
      </c>
      <c r="X275" s="862">
        <f t="shared" si="85"/>
        <v>2776911329</v>
      </c>
      <c r="Y275" s="862">
        <f t="shared" si="86"/>
        <v>6250000000</v>
      </c>
    </row>
    <row r="276" spans="1:25" ht="24.95" customHeight="1">
      <c r="A276" s="901" t="s">
        <v>112</v>
      </c>
      <c r="B276" s="902" t="s">
        <v>1016</v>
      </c>
      <c r="C276" s="938"/>
      <c r="D276" s="870"/>
      <c r="E276" s="901"/>
      <c r="F276" s="886">
        <f>F277</f>
        <v>857381000000</v>
      </c>
      <c r="G276" s="886">
        <f>G277</f>
        <v>147012683647</v>
      </c>
      <c r="H276" s="886">
        <f t="shared" ref="H276:Y276" si="93">H277</f>
        <v>0</v>
      </c>
      <c r="I276" s="886">
        <f t="shared" si="93"/>
        <v>0</v>
      </c>
      <c r="J276" s="886">
        <f t="shared" si="93"/>
        <v>0</v>
      </c>
      <c r="K276" s="886">
        <f t="shared" si="93"/>
        <v>0</v>
      </c>
      <c r="L276" s="886">
        <f t="shared" si="93"/>
        <v>0</v>
      </c>
      <c r="M276" s="886">
        <f t="shared" si="93"/>
        <v>0</v>
      </c>
      <c r="N276" s="886">
        <f t="shared" si="93"/>
        <v>0</v>
      </c>
      <c r="O276" s="886">
        <f t="shared" si="93"/>
        <v>0</v>
      </c>
      <c r="P276" s="886">
        <f t="shared" si="93"/>
        <v>0</v>
      </c>
      <c r="Q276" s="886">
        <f t="shared" si="93"/>
        <v>29045000000</v>
      </c>
      <c r="R276" s="886">
        <f t="shared" si="93"/>
        <v>29044986000</v>
      </c>
      <c r="S276" s="886">
        <f t="shared" si="93"/>
        <v>27915963005</v>
      </c>
      <c r="T276" s="886">
        <f t="shared" si="93"/>
        <v>1129022995</v>
      </c>
      <c r="U276" s="886">
        <f t="shared" si="93"/>
        <v>0</v>
      </c>
      <c r="V276" s="886">
        <f t="shared" si="93"/>
        <v>0</v>
      </c>
      <c r="W276" s="886">
        <f>W277</f>
        <v>27915963005</v>
      </c>
      <c r="X276" s="886">
        <f t="shared" si="93"/>
        <v>1129022995</v>
      </c>
      <c r="Y276" s="886">
        <f t="shared" si="93"/>
        <v>176057669647</v>
      </c>
    </row>
    <row r="277" spans="1:25" ht="15" customHeight="1">
      <c r="A277" s="895"/>
      <c r="B277" s="896" t="s">
        <v>5</v>
      </c>
      <c r="C277" s="903"/>
      <c r="D277" s="870"/>
      <c r="E277" s="895"/>
      <c r="F277" s="886">
        <f>SUM(F278:F279)</f>
        <v>857381000000</v>
      </c>
      <c r="G277" s="886">
        <f>SUM(G278:G279)</f>
        <v>147012683647</v>
      </c>
      <c r="H277" s="886">
        <f t="shared" ref="H277:Y277" si="94">SUM(H278:H279)</f>
        <v>0</v>
      </c>
      <c r="I277" s="886">
        <f t="shared" si="94"/>
        <v>0</v>
      </c>
      <c r="J277" s="886">
        <f t="shared" si="94"/>
        <v>0</v>
      </c>
      <c r="K277" s="886">
        <f t="shared" si="94"/>
        <v>0</v>
      </c>
      <c r="L277" s="886">
        <f t="shared" si="94"/>
        <v>0</v>
      </c>
      <c r="M277" s="886">
        <f t="shared" si="94"/>
        <v>0</v>
      </c>
      <c r="N277" s="886">
        <f t="shared" si="94"/>
        <v>0</v>
      </c>
      <c r="O277" s="886">
        <f t="shared" si="94"/>
        <v>0</v>
      </c>
      <c r="P277" s="886">
        <f t="shared" si="94"/>
        <v>0</v>
      </c>
      <c r="Q277" s="886">
        <f t="shared" si="94"/>
        <v>29045000000</v>
      </c>
      <c r="R277" s="886">
        <f t="shared" si="94"/>
        <v>29044986000</v>
      </c>
      <c r="S277" s="886">
        <f t="shared" si="94"/>
        <v>27915963005</v>
      </c>
      <c r="T277" s="886">
        <f t="shared" si="94"/>
        <v>1129022995</v>
      </c>
      <c r="U277" s="886">
        <f t="shared" si="94"/>
        <v>0</v>
      </c>
      <c r="V277" s="886">
        <f t="shared" si="94"/>
        <v>0</v>
      </c>
      <c r="W277" s="886">
        <f>SUM(W278:W279)</f>
        <v>27915963005</v>
      </c>
      <c r="X277" s="886">
        <f t="shared" si="94"/>
        <v>1129022995</v>
      </c>
      <c r="Y277" s="886">
        <f t="shared" si="94"/>
        <v>176057669647</v>
      </c>
    </row>
    <row r="278" spans="1:25" ht="42" customHeight="1">
      <c r="A278" s="898">
        <v>1</v>
      </c>
      <c r="B278" s="899" t="s">
        <v>1017</v>
      </c>
      <c r="C278" s="900" t="s">
        <v>1018</v>
      </c>
      <c r="D278" s="870" t="s">
        <v>825</v>
      </c>
      <c r="E278" s="898">
        <v>7148575</v>
      </c>
      <c r="F278" s="862">
        <v>705700000000</v>
      </c>
      <c r="G278" s="862">
        <v>118042309145</v>
      </c>
      <c r="H278" s="862"/>
      <c r="I278" s="862"/>
      <c r="J278" s="862"/>
      <c r="K278" s="862"/>
      <c r="L278" s="862"/>
      <c r="M278" s="862"/>
      <c r="N278" s="862"/>
      <c r="O278" s="862"/>
      <c r="P278" s="862"/>
      <c r="Q278" s="862">
        <v>17603000000</v>
      </c>
      <c r="R278" s="862">
        <f t="shared" si="91"/>
        <v>17603000000</v>
      </c>
      <c r="S278" s="862">
        <v>16473977005</v>
      </c>
      <c r="T278" s="862">
        <v>1129022995</v>
      </c>
      <c r="U278" s="862"/>
      <c r="V278" s="862"/>
      <c r="W278" s="862">
        <f t="shared" si="84"/>
        <v>16473977005</v>
      </c>
      <c r="X278" s="862">
        <f t="shared" si="85"/>
        <v>1129022995</v>
      </c>
      <c r="Y278" s="862">
        <f t="shared" si="86"/>
        <v>135645309145</v>
      </c>
    </row>
    <row r="279" spans="1:25" ht="32.1" customHeight="1">
      <c r="A279" s="898">
        <v>2</v>
      </c>
      <c r="B279" s="899" t="s">
        <v>611</v>
      </c>
      <c r="C279" s="900" t="s">
        <v>1019</v>
      </c>
      <c r="D279" s="870" t="s">
        <v>825</v>
      </c>
      <c r="E279" s="898">
        <v>7323526</v>
      </c>
      <c r="F279" s="862">
        <v>151681000000</v>
      </c>
      <c r="G279" s="862">
        <v>28970374502</v>
      </c>
      <c r="H279" s="862"/>
      <c r="I279" s="862"/>
      <c r="J279" s="862"/>
      <c r="K279" s="862"/>
      <c r="L279" s="862"/>
      <c r="M279" s="862"/>
      <c r="N279" s="862"/>
      <c r="O279" s="862"/>
      <c r="P279" s="862"/>
      <c r="Q279" s="862">
        <v>11442000000</v>
      </c>
      <c r="R279" s="862">
        <f t="shared" si="91"/>
        <v>11441986000</v>
      </c>
      <c r="S279" s="862">
        <v>11441986000</v>
      </c>
      <c r="T279" s="862">
        <v>0</v>
      </c>
      <c r="U279" s="862"/>
      <c r="V279" s="862"/>
      <c r="W279" s="862">
        <f t="shared" si="84"/>
        <v>11441986000</v>
      </c>
      <c r="X279" s="862">
        <f t="shared" si="85"/>
        <v>0</v>
      </c>
      <c r="Y279" s="862">
        <f t="shared" si="86"/>
        <v>40412360502</v>
      </c>
    </row>
    <row r="280" spans="1:25" ht="24.95" customHeight="1">
      <c r="A280" s="935" t="s">
        <v>130</v>
      </c>
      <c r="B280" s="902" t="s">
        <v>1020</v>
      </c>
      <c r="C280" s="931"/>
      <c r="D280" s="870"/>
      <c r="E280" s="901"/>
      <c r="F280" s="886">
        <f>F281+F292</f>
        <v>264618000000</v>
      </c>
      <c r="G280" s="886">
        <f>G281+G292</f>
        <v>78309423000</v>
      </c>
      <c r="H280" s="886">
        <f t="shared" ref="H280:Y280" si="95">H281+H292</f>
        <v>0</v>
      </c>
      <c r="I280" s="886">
        <f t="shared" si="95"/>
        <v>0</v>
      </c>
      <c r="J280" s="886">
        <f t="shared" si="95"/>
        <v>0</v>
      </c>
      <c r="K280" s="886">
        <f t="shared" si="95"/>
        <v>0</v>
      </c>
      <c r="L280" s="886">
        <f t="shared" si="95"/>
        <v>0</v>
      </c>
      <c r="M280" s="886">
        <f t="shared" si="95"/>
        <v>0</v>
      </c>
      <c r="N280" s="886">
        <f t="shared" si="95"/>
        <v>0</v>
      </c>
      <c r="O280" s="886">
        <f t="shared" si="95"/>
        <v>0</v>
      </c>
      <c r="P280" s="886">
        <f t="shared" si="95"/>
        <v>0</v>
      </c>
      <c r="Q280" s="886">
        <f t="shared" si="95"/>
        <v>102863000000</v>
      </c>
      <c r="R280" s="886">
        <f t="shared" si="95"/>
        <v>102583169298</v>
      </c>
      <c r="S280" s="886">
        <f t="shared" si="95"/>
        <v>96092829048</v>
      </c>
      <c r="T280" s="886">
        <f t="shared" si="95"/>
        <v>6490340250</v>
      </c>
      <c r="U280" s="886">
        <f t="shared" si="95"/>
        <v>0</v>
      </c>
      <c r="V280" s="886">
        <f t="shared" si="95"/>
        <v>0</v>
      </c>
      <c r="W280" s="886">
        <f>W281+W292</f>
        <v>96092829048</v>
      </c>
      <c r="X280" s="886">
        <f t="shared" si="95"/>
        <v>6490340250</v>
      </c>
      <c r="Y280" s="886">
        <f t="shared" si="95"/>
        <v>180892592298</v>
      </c>
    </row>
    <row r="281" spans="1:25" ht="15" customHeight="1">
      <c r="A281" s="935"/>
      <c r="B281" s="925" t="s">
        <v>5</v>
      </c>
      <c r="C281" s="931"/>
      <c r="D281" s="870"/>
      <c r="E281" s="926"/>
      <c r="F281" s="886">
        <f>SUM(F282:F291)</f>
        <v>123404000000</v>
      </c>
      <c r="G281" s="886">
        <f>SUM(G282:G291)</f>
        <v>75408289000</v>
      </c>
      <c r="H281" s="886">
        <f t="shared" ref="H281:Y281" si="96">SUM(H282:H291)</f>
        <v>0</v>
      </c>
      <c r="I281" s="886">
        <f t="shared" si="96"/>
        <v>0</v>
      </c>
      <c r="J281" s="886">
        <f t="shared" si="96"/>
        <v>0</v>
      </c>
      <c r="K281" s="886">
        <f t="shared" si="96"/>
        <v>0</v>
      </c>
      <c r="L281" s="886">
        <f t="shared" si="96"/>
        <v>0</v>
      </c>
      <c r="M281" s="886">
        <f t="shared" si="96"/>
        <v>0</v>
      </c>
      <c r="N281" s="886">
        <f t="shared" si="96"/>
        <v>0</v>
      </c>
      <c r="O281" s="886">
        <f t="shared" si="96"/>
        <v>0</v>
      </c>
      <c r="P281" s="886">
        <f t="shared" si="96"/>
        <v>0</v>
      </c>
      <c r="Q281" s="886">
        <f t="shared" si="96"/>
        <v>35936000000</v>
      </c>
      <c r="R281" s="886">
        <f t="shared" si="96"/>
        <v>35745290600</v>
      </c>
      <c r="S281" s="886">
        <f t="shared" si="96"/>
        <v>35705816600</v>
      </c>
      <c r="T281" s="886">
        <f t="shared" si="96"/>
        <v>39474000</v>
      </c>
      <c r="U281" s="886">
        <f t="shared" si="96"/>
        <v>0</v>
      </c>
      <c r="V281" s="886">
        <f t="shared" si="96"/>
        <v>0</v>
      </c>
      <c r="W281" s="886">
        <f>SUM(W282:W291)</f>
        <v>35705816600</v>
      </c>
      <c r="X281" s="886">
        <f t="shared" si="96"/>
        <v>39474000</v>
      </c>
      <c r="Y281" s="886">
        <f t="shared" si="96"/>
        <v>111153579600</v>
      </c>
    </row>
    <row r="282" spans="1:25" ht="24.95" customHeight="1">
      <c r="A282" s="898">
        <v>1</v>
      </c>
      <c r="B282" s="899" t="s">
        <v>613</v>
      </c>
      <c r="C282" s="900" t="s">
        <v>875</v>
      </c>
      <c r="D282" s="870" t="s">
        <v>825</v>
      </c>
      <c r="E282" s="898">
        <v>7543138</v>
      </c>
      <c r="F282" s="862">
        <v>10795000000</v>
      </c>
      <c r="G282" s="862">
        <v>6000000000</v>
      </c>
      <c r="H282" s="862"/>
      <c r="I282" s="862"/>
      <c r="J282" s="862"/>
      <c r="K282" s="862"/>
      <c r="L282" s="862"/>
      <c r="M282" s="862"/>
      <c r="N282" s="862"/>
      <c r="O282" s="862"/>
      <c r="P282" s="862"/>
      <c r="Q282" s="862">
        <v>2900000000</v>
      </c>
      <c r="R282" s="862">
        <f t="shared" si="91"/>
        <v>2898338000</v>
      </c>
      <c r="S282" s="862">
        <v>2898338000</v>
      </c>
      <c r="T282" s="862">
        <v>0</v>
      </c>
      <c r="U282" s="862"/>
      <c r="V282" s="862"/>
      <c r="W282" s="862">
        <f t="shared" si="84"/>
        <v>2898338000</v>
      </c>
      <c r="X282" s="862">
        <f t="shared" si="85"/>
        <v>0</v>
      </c>
      <c r="Y282" s="862">
        <f t="shared" si="86"/>
        <v>8898338000</v>
      </c>
    </row>
    <row r="283" spans="1:25" ht="24.95" customHeight="1">
      <c r="A283" s="898">
        <v>2</v>
      </c>
      <c r="B283" s="899" t="s">
        <v>614</v>
      </c>
      <c r="C283" s="900" t="s">
        <v>868</v>
      </c>
      <c r="D283" s="870" t="s">
        <v>825</v>
      </c>
      <c r="E283" s="898">
        <v>7549877</v>
      </c>
      <c r="F283" s="862">
        <v>11103000000</v>
      </c>
      <c r="G283" s="862">
        <v>4704000000</v>
      </c>
      <c r="H283" s="862"/>
      <c r="I283" s="862"/>
      <c r="J283" s="862"/>
      <c r="K283" s="862"/>
      <c r="L283" s="862"/>
      <c r="M283" s="862"/>
      <c r="N283" s="862"/>
      <c r="O283" s="862"/>
      <c r="P283" s="862"/>
      <c r="Q283" s="862">
        <v>5091000000</v>
      </c>
      <c r="R283" s="862">
        <f t="shared" si="91"/>
        <v>5091000000</v>
      </c>
      <c r="S283" s="862">
        <v>5069992000</v>
      </c>
      <c r="T283" s="862">
        <v>21008000</v>
      </c>
      <c r="U283" s="862"/>
      <c r="V283" s="862"/>
      <c r="W283" s="862">
        <f t="shared" si="84"/>
        <v>5069992000</v>
      </c>
      <c r="X283" s="862">
        <f t="shared" si="85"/>
        <v>21008000</v>
      </c>
      <c r="Y283" s="862">
        <f t="shared" si="86"/>
        <v>9795000000</v>
      </c>
    </row>
    <row r="284" spans="1:25" ht="24.95" customHeight="1">
      <c r="A284" s="898">
        <v>3</v>
      </c>
      <c r="B284" s="899" t="s">
        <v>615</v>
      </c>
      <c r="C284" s="900" t="s">
        <v>868</v>
      </c>
      <c r="D284" s="870" t="s">
        <v>825</v>
      </c>
      <c r="E284" s="898">
        <v>7549871</v>
      </c>
      <c r="F284" s="862">
        <v>10810000000</v>
      </c>
      <c r="G284" s="862">
        <v>4700000000</v>
      </c>
      <c r="H284" s="862"/>
      <c r="I284" s="862"/>
      <c r="J284" s="862"/>
      <c r="K284" s="862"/>
      <c r="L284" s="862"/>
      <c r="M284" s="862"/>
      <c r="N284" s="862"/>
      <c r="O284" s="862"/>
      <c r="P284" s="862"/>
      <c r="Q284" s="862">
        <v>4597000000</v>
      </c>
      <c r="R284" s="862">
        <f t="shared" si="91"/>
        <v>4473661000</v>
      </c>
      <c r="S284" s="862">
        <v>4473661000</v>
      </c>
      <c r="T284" s="862">
        <v>0</v>
      </c>
      <c r="U284" s="862"/>
      <c r="V284" s="862"/>
      <c r="W284" s="862">
        <f t="shared" si="84"/>
        <v>4473661000</v>
      </c>
      <c r="X284" s="862">
        <f t="shared" si="85"/>
        <v>0</v>
      </c>
      <c r="Y284" s="862">
        <f t="shared" si="86"/>
        <v>9173661000</v>
      </c>
    </row>
    <row r="285" spans="1:25" ht="24.95" customHeight="1">
      <c r="A285" s="898">
        <v>4</v>
      </c>
      <c r="B285" s="899" t="s">
        <v>616</v>
      </c>
      <c r="C285" s="900" t="s">
        <v>847</v>
      </c>
      <c r="D285" s="870" t="s">
        <v>825</v>
      </c>
      <c r="E285" s="898">
        <v>7549971</v>
      </c>
      <c r="F285" s="862">
        <v>13170000000</v>
      </c>
      <c r="G285" s="862">
        <v>6000000000</v>
      </c>
      <c r="H285" s="862"/>
      <c r="I285" s="862"/>
      <c r="J285" s="862"/>
      <c r="K285" s="862"/>
      <c r="L285" s="862"/>
      <c r="M285" s="862"/>
      <c r="N285" s="862"/>
      <c r="O285" s="862"/>
      <c r="P285" s="862"/>
      <c r="Q285" s="862">
        <v>4428000000</v>
      </c>
      <c r="R285" s="862">
        <f t="shared" si="91"/>
        <v>4427767000</v>
      </c>
      <c r="S285" s="862">
        <v>4419207000</v>
      </c>
      <c r="T285" s="862">
        <v>8560000</v>
      </c>
      <c r="U285" s="862"/>
      <c r="V285" s="862"/>
      <c r="W285" s="862">
        <f t="shared" si="84"/>
        <v>4419207000</v>
      </c>
      <c r="X285" s="862">
        <f t="shared" si="85"/>
        <v>8560000</v>
      </c>
      <c r="Y285" s="862">
        <f t="shared" si="86"/>
        <v>10427767000</v>
      </c>
    </row>
    <row r="286" spans="1:25" ht="24.95" customHeight="1">
      <c r="A286" s="898">
        <v>5</v>
      </c>
      <c r="B286" s="899" t="s">
        <v>617</v>
      </c>
      <c r="C286" s="900" t="s">
        <v>835</v>
      </c>
      <c r="D286" s="870" t="s">
        <v>825</v>
      </c>
      <c r="E286" s="898">
        <v>7513830</v>
      </c>
      <c r="F286" s="862">
        <v>13826000000</v>
      </c>
      <c r="G286" s="862">
        <v>9284000000</v>
      </c>
      <c r="H286" s="862"/>
      <c r="I286" s="862"/>
      <c r="J286" s="862"/>
      <c r="K286" s="862"/>
      <c r="L286" s="862"/>
      <c r="M286" s="862"/>
      <c r="N286" s="862"/>
      <c r="O286" s="862"/>
      <c r="P286" s="862"/>
      <c r="Q286" s="862">
        <v>2987000000</v>
      </c>
      <c r="R286" s="862">
        <f t="shared" si="91"/>
        <v>2987000000</v>
      </c>
      <c r="S286" s="862">
        <v>2977094000</v>
      </c>
      <c r="T286" s="862">
        <v>9906000</v>
      </c>
      <c r="U286" s="862"/>
      <c r="V286" s="862"/>
      <c r="W286" s="862">
        <f t="shared" si="84"/>
        <v>2977094000</v>
      </c>
      <c r="X286" s="862">
        <f t="shared" si="85"/>
        <v>9906000</v>
      </c>
      <c r="Y286" s="862">
        <f t="shared" si="86"/>
        <v>12271000000</v>
      </c>
    </row>
    <row r="287" spans="1:25" ht="24.95" customHeight="1">
      <c r="A287" s="898">
        <v>6</v>
      </c>
      <c r="B287" s="899" t="s">
        <v>618</v>
      </c>
      <c r="C287" s="900" t="s">
        <v>844</v>
      </c>
      <c r="D287" s="870" t="s">
        <v>825</v>
      </c>
      <c r="E287" s="898">
        <v>7543165</v>
      </c>
      <c r="F287" s="862">
        <v>11374000000</v>
      </c>
      <c r="G287" s="862">
        <v>6999778000</v>
      </c>
      <c r="H287" s="862"/>
      <c r="I287" s="862"/>
      <c r="J287" s="862"/>
      <c r="K287" s="862"/>
      <c r="L287" s="862"/>
      <c r="M287" s="862"/>
      <c r="N287" s="862"/>
      <c r="O287" s="862"/>
      <c r="P287" s="862"/>
      <c r="Q287" s="862">
        <v>3610000000</v>
      </c>
      <c r="R287" s="862">
        <f t="shared" si="91"/>
        <v>3609889000</v>
      </c>
      <c r="S287" s="862">
        <v>3609889000</v>
      </c>
      <c r="T287" s="862">
        <v>0</v>
      </c>
      <c r="U287" s="862"/>
      <c r="V287" s="862"/>
      <c r="W287" s="862">
        <f t="shared" si="84"/>
        <v>3609889000</v>
      </c>
      <c r="X287" s="862">
        <f t="shared" si="85"/>
        <v>0</v>
      </c>
      <c r="Y287" s="862">
        <f t="shared" si="86"/>
        <v>10609667000</v>
      </c>
    </row>
    <row r="288" spans="1:25" ht="24.95" customHeight="1">
      <c r="A288" s="898">
        <v>7</v>
      </c>
      <c r="B288" s="899" t="s">
        <v>619</v>
      </c>
      <c r="C288" s="900" t="s">
        <v>844</v>
      </c>
      <c r="D288" s="870" t="s">
        <v>825</v>
      </c>
      <c r="E288" s="898">
        <v>7543178</v>
      </c>
      <c r="F288" s="862">
        <v>12922000000</v>
      </c>
      <c r="G288" s="862">
        <v>8401990000</v>
      </c>
      <c r="H288" s="862"/>
      <c r="I288" s="862"/>
      <c r="J288" s="862"/>
      <c r="K288" s="862"/>
      <c r="L288" s="862"/>
      <c r="M288" s="862"/>
      <c r="N288" s="862"/>
      <c r="O288" s="862"/>
      <c r="P288" s="862"/>
      <c r="Q288" s="862">
        <v>3337000000</v>
      </c>
      <c r="R288" s="862">
        <f t="shared" si="91"/>
        <v>3336142000</v>
      </c>
      <c r="S288" s="862">
        <v>3336142000</v>
      </c>
      <c r="T288" s="862">
        <v>0</v>
      </c>
      <c r="U288" s="862"/>
      <c r="V288" s="862"/>
      <c r="W288" s="862">
        <f t="shared" si="84"/>
        <v>3336142000</v>
      </c>
      <c r="X288" s="862">
        <f t="shared" si="85"/>
        <v>0</v>
      </c>
      <c r="Y288" s="862">
        <f t="shared" si="86"/>
        <v>11738132000</v>
      </c>
    </row>
    <row r="289" spans="1:25" ht="24.95" customHeight="1">
      <c r="A289" s="898">
        <v>8</v>
      </c>
      <c r="B289" s="899" t="s">
        <v>620</v>
      </c>
      <c r="C289" s="900" t="s">
        <v>869</v>
      </c>
      <c r="D289" s="870" t="s">
        <v>825</v>
      </c>
      <c r="E289" s="898">
        <v>7546541</v>
      </c>
      <c r="F289" s="862">
        <v>13184000000</v>
      </c>
      <c r="G289" s="862">
        <v>11708521000</v>
      </c>
      <c r="H289" s="862"/>
      <c r="I289" s="862"/>
      <c r="J289" s="862"/>
      <c r="K289" s="862"/>
      <c r="L289" s="862"/>
      <c r="M289" s="862"/>
      <c r="N289" s="862"/>
      <c r="O289" s="862"/>
      <c r="P289" s="862"/>
      <c r="Q289" s="862">
        <v>1135000000</v>
      </c>
      <c r="R289" s="862">
        <f t="shared" si="91"/>
        <v>1134085000</v>
      </c>
      <c r="S289" s="862">
        <v>1134085000</v>
      </c>
      <c r="T289" s="862">
        <v>0</v>
      </c>
      <c r="U289" s="862"/>
      <c r="V289" s="862"/>
      <c r="W289" s="862">
        <f t="shared" si="84"/>
        <v>1134085000</v>
      </c>
      <c r="X289" s="862">
        <f t="shared" si="85"/>
        <v>0</v>
      </c>
      <c r="Y289" s="862">
        <f t="shared" si="86"/>
        <v>12842606000</v>
      </c>
    </row>
    <row r="290" spans="1:25" ht="24.95" customHeight="1">
      <c r="A290" s="898">
        <v>9</v>
      </c>
      <c r="B290" s="899" t="s">
        <v>612</v>
      </c>
      <c r="C290" s="900" t="s">
        <v>848</v>
      </c>
      <c r="D290" s="870" t="s">
        <v>825</v>
      </c>
      <c r="E290" s="898">
        <v>7489522</v>
      </c>
      <c r="F290" s="862">
        <v>14747000000</v>
      </c>
      <c r="G290" s="862">
        <v>9710000000</v>
      </c>
      <c r="H290" s="862"/>
      <c r="I290" s="862"/>
      <c r="J290" s="862"/>
      <c r="K290" s="862"/>
      <c r="L290" s="862"/>
      <c r="M290" s="862"/>
      <c r="N290" s="862"/>
      <c r="O290" s="862"/>
      <c r="P290" s="862"/>
      <c r="Q290" s="862">
        <v>5022000000</v>
      </c>
      <c r="R290" s="862">
        <f t="shared" si="91"/>
        <v>4958555600</v>
      </c>
      <c r="S290" s="862">
        <v>4958555600</v>
      </c>
      <c r="T290" s="862">
        <v>0</v>
      </c>
      <c r="U290" s="862"/>
      <c r="V290" s="862"/>
      <c r="W290" s="862">
        <f t="shared" si="84"/>
        <v>4958555600</v>
      </c>
      <c r="X290" s="862">
        <f t="shared" si="85"/>
        <v>0</v>
      </c>
      <c r="Y290" s="862">
        <f t="shared" si="86"/>
        <v>14668555600</v>
      </c>
    </row>
    <row r="291" spans="1:25" ht="24.95" customHeight="1">
      <c r="A291" s="898">
        <v>10</v>
      </c>
      <c r="B291" s="899" t="s">
        <v>621</v>
      </c>
      <c r="C291" s="900" t="s">
        <v>848</v>
      </c>
      <c r="D291" s="870" t="s">
        <v>825</v>
      </c>
      <c r="E291" s="898">
        <v>7555488</v>
      </c>
      <c r="F291" s="862">
        <v>11473000000</v>
      </c>
      <c r="G291" s="862">
        <v>7900000000</v>
      </c>
      <c r="H291" s="862"/>
      <c r="I291" s="862"/>
      <c r="J291" s="862"/>
      <c r="K291" s="862"/>
      <c r="L291" s="862"/>
      <c r="M291" s="862"/>
      <c r="N291" s="862"/>
      <c r="O291" s="862"/>
      <c r="P291" s="862"/>
      <c r="Q291" s="862">
        <v>2829000000</v>
      </c>
      <c r="R291" s="862">
        <f t="shared" si="91"/>
        <v>2828853000</v>
      </c>
      <c r="S291" s="862">
        <v>2828853000</v>
      </c>
      <c r="T291" s="862">
        <v>0</v>
      </c>
      <c r="U291" s="862"/>
      <c r="V291" s="862"/>
      <c r="W291" s="862">
        <f t="shared" si="84"/>
        <v>2828853000</v>
      </c>
      <c r="X291" s="862">
        <f t="shared" si="85"/>
        <v>0</v>
      </c>
      <c r="Y291" s="862">
        <f t="shared" si="86"/>
        <v>10728853000</v>
      </c>
    </row>
    <row r="292" spans="1:25" ht="15" customHeight="1">
      <c r="A292" s="935"/>
      <c r="B292" s="925" t="s">
        <v>564</v>
      </c>
      <c r="C292" s="931"/>
      <c r="D292" s="870"/>
      <c r="E292" s="926"/>
      <c r="F292" s="886">
        <f>SUM(F293:F304)</f>
        <v>141214000000</v>
      </c>
      <c r="G292" s="886">
        <f>SUM(G293:G304)</f>
        <v>2901134000</v>
      </c>
      <c r="H292" s="886">
        <f t="shared" ref="H292:Y292" si="97">SUM(H293:H304)</f>
        <v>0</v>
      </c>
      <c r="I292" s="886">
        <f t="shared" si="97"/>
        <v>0</v>
      </c>
      <c r="J292" s="886">
        <f t="shared" si="97"/>
        <v>0</v>
      </c>
      <c r="K292" s="886">
        <f t="shared" si="97"/>
        <v>0</v>
      </c>
      <c r="L292" s="886">
        <f t="shared" si="97"/>
        <v>0</v>
      </c>
      <c r="M292" s="886">
        <f t="shared" si="97"/>
        <v>0</v>
      </c>
      <c r="N292" s="886">
        <f t="shared" si="97"/>
        <v>0</v>
      </c>
      <c r="O292" s="886">
        <f t="shared" si="97"/>
        <v>0</v>
      </c>
      <c r="P292" s="886">
        <f t="shared" si="97"/>
        <v>0</v>
      </c>
      <c r="Q292" s="886">
        <f t="shared" si="97"/>
        <v>66927000000</v>
      </c>
      <c r="R292" s="886">
        <f t="shared" si="97"/>
        <v>66837878698</v>
      </c>
      <c r="S292" s="886">
        <f t="shared" si="97"/>
        <v>60387012448</v>
      </c>
      <c r="T292" s="886">
        <f t="shared" si="97"/>
        <v>6450866250</v>
      </c>
      <c r="U292" s="886">
        <f t="shared" si="97"/>
        <v>0</v>
      </c>
      <c r="V292" s="886">
        <f t="shared" si="97"/>
        <v>0</v>
      </c>
      <c r="W292" s="886">
        <f>SUM(W293:W304)</f>
        <v>60387012448</v>
      </c>
      <c r="X292" s="886">
        <f t="shared" si="97"/>
        <v>6450866250</v>
      </c>
      <c r="Y292" s="886">
        <f t="shared" si="97"/>
        <v>69739012698</v>
      </c>
    </row>
    <row r="293" spans="1:25" ht="24.95" customHeight="1">
      <c r="A293" s="898">
        <v>1</v>
      </c>
      <c r="B293" s="899" t="s">
        <v>624</v>
      </c>
      <c r="C293" s="900" t="s">
        <v>875</v>
      </c>
      <c r="D293" s="870" t="s">
        <v>825</v>
      </c>
      <c r="E293" s="898">
        <v>7600218</v>
      </c>
      <c r="F293" s="862">
        <v>11846000000</v>
      </c>
      <c r="G293" s="862">
        <v>362442000</v>
      </c>
      <c r="H293" s="862"/>
      <c r="I293" s="862"/>
      <c r="J293" s="862"/>
      <c r="K293" s="862"/>
      <c r="L293" s="862"/>
      <c r="M293" s="862"/>
      <c r="N293" s="862"/>
      <c r="O293" s="862"/>
      <c r="P293" s="862"/>
      <c r="Q293" s="862">
        <v>8579000000</v>
      </c>
      <c r="R293" s="862">
        <f t="shared" si="91"/>
        <v>8579000000</v>
      </c>
      <c r="S293" s="862">
        <v>8579000000</v>
      </c>
      <c r="T293" s="862">
        <v>0</v>
      </c>
      <c r="U293" s="862"/>
      <c r="V293" s="862"/>
      <c r="W293" s="862">
        <f t="shared" si="84"/>
        <v>8579000000</v>
      </c>
      <c r="X293" s="862">
        <f t="shared" si="85"/>
        <v>0</v>
      </c>
      <c r="Y293" s="862">
        <f t="shared" si="86"/>
        <v>8941442000</v>
      </c>
    </row>
    <row r="294" spans="1:25" ht="24.95" customHeight="1">
      <c r="A294" s="898">
        <v>2</v>
      </c>
      <c r="B294" s="899" t="s">
        <v>625</v>
      </c>
      <c r="C294" s="900" t="s">
        <v>875</v>
      </c>
      <c r="D294" s="870" t="s">
        <v>825</v>
      </c>
      <c r="E294" s="898">
        <v>7600222</v>
      </c>
      <c r="F294" s="862">
        <v>9471000000</v>
      </c>
      <c r="G294" s="862">
        <v>250000000</v>
      </c>
      <c r="H294" s="862"/>
      <c r="I294" s="862"/>
      <c r="J294" s="862"/>
      <c r="K294" s="862"/>
      <c r="L294" s="862"/>
      <c r="M294" s="862"/>
      <c r="N294" s="862"/>
      <c r="O294" s="862"/>
      <c r="P294" s="862"/>
      <c r="Q294" s="862">
        <v>5300000000</v>
      </c>
      <c r="R294" s="862">
        <f t="shared" si="91"/>
        <v>5300000000</v>
      </c>
      <c r="S294" s="862">
        <v>5300000000</v>
      </c>
      <c r="T294" s="862">
        <v>0</v>
      </c>
      <c r="U294" s="862"/>
      <c r="V294" s="862"/>
      <c r="W294" s="862">
        <f t="shared" si="84"/>
        <v>5300000000</v>
      </c>
      <c r="X294" s="862">
        <f t="shared" si="85"/>
        <v>0</v>
      </c>
      <c r="Y294" s="862">
        <f t="shared" si="86"/>
        <v>5550000000</v>
      </c>
    </row>
    <row r="295" spans="1:25" ht="24.95" customHeight="1">
      <c r="A295" s="898">
        <v>3</v>
      </c>
      <c r="B295" s="899" t="s">
        <v>1021</v>
      </c>
      <c r="C295" s="900" t="s">
        <v>847</v>
      </c>
      <c r="D295" s="870" t="s">
        <v>825</v>
      </c>
      <c r="E295" s="898">
        <v>7587761</v>
      </c>
      <c r="F295" s="862">
        <v>14559000000</v>
      </c>
      <c r="G295" s="862">
        <v>250000000</v>
      </c>
      <c r="H295" s="862"/>
      <c r="I295" s="862"/>
      <c r="J295" s="862"/>
      <c r="K295" s="862"/>
      <c r="L295" s="862"/>
      <c r="M295" s="862"/>
      <c r="N295" s="862"/>
      <c r="O295" s="862"/>
      <c r="P295" s="862"/>
      <c r="Q295" s="862">
        <v>5858000000</v>
      </c>
      <c r="R295" s="862">
        <f t="shared" si="91"/>
        <v>5856649000</v>
      </c>
      <c r="S295" s="862">
        <v>5027733750</v>
      </c>
      <c r="T295" s="862">
        <v>828915250</v>
      </c>
      <c r="U295" s="862"/>
      <c r="V295" s="862"/>
      <c r="W295" s="862">
        <f t="shared" si="84"/>
        <v>5027733750</v>
      </c>
      <c r="X295" s="862">
        <f t="shared" si="85"/>
        <v>828915250</v>
      </c>
      <c r="Y295" s="862">
        <f t="shared" si="86"/>
        <v>6106649000</v>
      </c>
    </row>
    <row r="296" spans="1:25" ht="24.95" customHeight="1">
      <c r="A296" s="898">
        <v>4</v>
      </c>
      <c r="B296" s="899" t="s">
        <v>626</v>
      </c>
      <c r="C296" s="900" t="s">
        <v>882</v>
      </c>
      <c r="D296" s="870" t="s">
        <v>825</v>
      </c>
      <c r="E296" s="898">
        <v>7572045</v>
      </c>
      <c r="F296" s="862">
        <v>12448000000</v>
      </c>
      <c r="G296" s="862">
        <v>249692000</v>
      </c>
      <c r="H296" s="862"/>
      <c r="I296" s="862"/>
      <c r="J296" s="862"/>
      <c r="K296" s="862"/>
      <c r="L296" s="862"/>
      <c r="M296" s="862"/>
      <c r="N296" s="862"/>
      <c r="O296" s="862"/>
      <c r="P296" s="862"/>
      <c r="Q296" s="862">
        <v>6500000000</v>
      </c>
      <c r="R296" s="862">
        <f t="shared" si="91"/>
        <v>6500000000</v>
      </c>
      <c r="S296" s="862">
        <v>5390658000</v>
      </c>
      <c r="T296" s="862">
        <v>1109342000</v>
      </c>
      <c r="U296" s="862"/>
      <c r="V296" s="862"/>
      <c r="W296" s="862">
        <f t="shared" si="84"/>
        <v>5390658000</v>
      </c>
      <c r="X296" s="862">
        <f t="shared" si="85"/>
        <v>1109342000</v>
      </c>
      <c r="Y296" s="862">
        <f t="shared" si="86"/>
        <v>6749692000</v>
      </c>
    </row>
    <row r="297" spans="1:25" ht="24.95" customHeight="1">
      <c r="A297" s="898">
        <v>5</v>
      </c>
      <c r="B297" s="899" t="s">
        <v>1022</v>
      </c>
      <c r="C297" s="900" t="s">
        <v>882</v>
      </c>
      <c r="D297" s="870" t="s">
        <v>825</v>
      </c>
      <c r="E297" s="898">
        <v>7594578</v>
      </c>
      <c r="F297" s="862">
        <v>8906000000</v>
      </c>
      <c r="G297" s="862">
        <v>200000000</v>
      </c>
      <c r="H297" s="862"/>
      <c r="I297" s="862"/>
      <c r="J297" s="862"/>
      <c r="K297" s="862"/>
      <c r="L297" s="862"/>
      <c r="M297" s="862"/>
      <c r="N297" s="862"/>
      <c r="O297" s="862"/>
      <c r="P297" s="862"/>
      <c r="Q297" s="862">
        <v>5020000000</v>
      </c>
      <c r="R297" s="862">
        <f t="shared" si="91"/>
        <v>5020000000</v>
      </c>
      <c r="S297" s="862">
        <v>5020000000</v>
      </c>
      <c r="T297" s="862">
        <v>0</v>
      </c>
      <c r="U297" s="862"/>
      <c r="V297" s="862"/>
      <c r="W297" s="862">
        <f t="shared" si="84"/>
        <v>5020000000</v>
      </c>
      <c r="X297" s="862">
        <f t="shared" si="85"/>
        <v>0</v>
      </c>
      <c r="Y297" s="862">
        <f t="shared" si="86"/>
        <v>5220000000</v>
      </c>
    </row>
    <row r="298" spans="1:25" ht="24.95" customHeight="1">
      <c r="A298" s="898">
        <v>6</v>
      </c>
      <c r="B298" s="899" t="s">
        <v>627</v>
      </c>
      <c r="C298" s="900" t="s">
        <v>835</v>
      </c>
      <c r="D298" s="870" t="s">
        <v>825</v>
      </c>
      <c r="E298" s="898">
        <v>7563785</v>
      </c>
      <c r="F298" s="862">
        <v>14981000000</v>
      </c>
      <c r="G298" s="862">
        <v>479000000</v>
      </c>
      <c r="H298" s="862"/>
      <c r="I298" s="862"/>
      <c r="J298" s="862"/>
      <c r="K298" s="862"/>
      <c r="L298" s="862"/>
      <c r="M298" s="862"/>
      <c r="N298" s="862"/>
      <c r="O298" s="862"/>
      <c r="P298" s="862"/>
      <c r="Q298" s="862">
        <v>6070000000</v>
      </c>
      <c r="R298" s="862">
        <f t="shared" si="91"/>
        <v>6065850000</v>
      </c>
      <c r="S298" s="862">
        <f>3384391000-4150000</f>
        <v>3380241000</v>
      </c>
      <c r="T298" s="862">
        <v>2685609000</v>
      </c>
      <c r="U298" s="862"/>
      <c r="V298" s="862"/>
      <c r="W298" s="862">
        <f t="shared" si="84"/>
        <v>3380241000</v>
      </c>
      <c r="X298" s="862">
        <f t="shared" si="85"/>
        <v>2685609000</v>
      </c>
      <c r="Y298" s="862">
        <f t="shared" si="86"/>
        <v>6544850000</v>
      </c>
    </row>
    <row r="299" spans="1:25" ht="32.1" customHeight="1">
      <c r="A299" s="898">
        <v>7</v>
      </c>
      <c r="B299" s="899" t="s">
        <v>1023</v>
      </c>
      <c r="C299" s="900" t="s">
        <v>869</v>
      </c>
      <c r="D299" s="870" t="s">
        <v>825</v>
      </c>
      <c r="E299" s="898">
        <v>7581600</v>
      </c>
      <c r="F299" s="862">
        <v>8444000000</v>
      </c>
      <c r="G299" s="862">
        <v>200000000</v>
      </c>
      <c r="H299" s="862"/>
      <c r="I299" s="862"/>
      <c r="J299" s="862"/>
      <c r="K299" s="862"/>
      <c r="L299" s="862"/>
      <c r="M299" s="862"/>
      <c r="N299" s="862"/>
      <c r="O299" s="862"/>
      <c r="P299" s="862"/>
      <c r="Q299" s="862">
        <v>6100000000</v>
      </c>
      <c r="R299" s="862">
        <f t="shared" si="91"/>
        <v>6016380352</v>
      </c>
      <c r="S299" s="862">
        <v>5916380352</v>
      </c>
      <c r="T299" s="862">
        <v>100000000</v>
      </c>
      <c r="U299" s="862"/>
      <c r="V299" s="862"/>
      <c r="W299" s="862">
        <f t="shared" si="84"/>
        <v>5916380352</v>
      </c>
      <c r="X299" s="862">
        <f t="shared" si="85"/>
        <v>100000000</v>
      </c>
      <c r="Y299" s="862">
        <f t="shared" si="86"/>
        <v>6216380352</v>
      </c>
    </row>
    <row r="300" spans="1:25" ht="24.95" customHeight="1">
      <c r="A300" s="898">
        <v>8</v>
      </c>
      <c r="B300" s="899" t="s">
        <v>628</v>
      </c>
      <c r="C300" s="900" t="s">
        <v>869</v>
      </c>
      <c r="D300" s="870" t="s">
        <v>825</v>
      </c>
      <c r="E300" s="898">
        <v>7593870</v>
      </c>
      <c r="F300" s="862">
        <v>13195000000</v>
      </c>
      <c r="G300" s="862">
        <v>300000000</v>
      </c>
      <c r="H300" s="862"/>
      <c r="I300" s="862"/>
      <c r="J300" s="862"/>
      <c r="K300" s="862"/>
      <c r="L300" s="862"/>
      <c r="M300" s="862"/>
      <c r="N300" s="862"/>
      <c r="O300" s="862"/>
      <c r="P300" s="862"/>
      <c r="Q300" s="862">
        <v>5000000000</v>
      </c>
      <c r="R300" s="862">
        <f t="shared" si="91"/>
        <v>4999999346</v>
      </c>
      <c r="S300" s="862">
        <v>3419999346</v>
      </c>
      <c r="T300" s="862">
        <v>1580000000</v>
      </c>
      <c r="U300" s="862"/>
      <c r="V300" s="862"/>
      <c r="W300" s="862">
        <f t="shared" si="84"/>
        <v>3419999346</v>
      </c>
      <c r="X300" s="862">
        <f t="shared" si="85"/>
        <v>1580000000</v>
      </c>
      <c r="Y300" s="862">
        <f t="shared" si="86"/>
        <v>5299999346</v>
      </c>
    </row>
    <row r="301" spans="1:25" ht="24.95" customHeight="1">
      <c r="A301" s="898">
        <v>9</v>
      </c>
      <c r="B301" s="899" t="s">
        <v>1024</v>
      </c>
      <c r="C301" s="900" t="s">
        <v>842</v>
      </c>
      <c r="D301" s="870" t="s">
        <v>825</v>
      </c>
      <c r="E301" s="898">
        <v>7601093</v>
      </c>
      <c r="F301" s="862">
        <v>8054000000</v>
      </c>
      <c r="G301" s="862"/>
      <c r="H301" s="862"/>
      <c r="I301" s="862"/>
      <c r="J301" s="862"/>
      <c r="K301" s="862"/>
      <c r="L301" s="862"/>
      <c r="M301" s="862"/>
      <c r="N301" s="862"/>
      <c r="O301" s="862"/>
      <c r="P301" s="862"/>
      <c r="Q301" s="862">
        <v>4500000000</v>
      </c>
      <c r="R301" s="862">
        <f t="shared" si="91"/>
        <v>4500000000</v>
      </c>
      <c r="S301" s="862">
        <v>4500000000</v>
      </c>
      <c r="T301" s="862">
        <v>0</v>
      </c>
      <c r="U301" s="862"/>
      <c r="V301" s="862"/>
      <c r="W301" s="862">
        <f t="shared" si="84"/>
        <v>4500000000</v>
      </c>
      <c r="X301" s="862">
        <f t="shared" si="85"/>
        <v>0</v>
      </c>
      <c r="Y301" s="862">
        <f t="shared" si="86"/>
        <v>4500000000</v>
      </c>
    </row>
    <row r="302" spans="1:25" ht="32.1" customHeight="1">
      <c r="A302" s="898">
        <v>10</v>
      </c>
      <c r="B302" s="899" t="s">
        <v>1025</v>
      </c>
      <c r="C302" s="900" t="s">
        <v>848</v>
      </c>
      <c r="D302" s="870" t="s">
        <v>825</v>
      </c>
      <c r="E302" s="898">
        <v>7599813</v>
      </c>
      <c r="F302" s="862">
        <v>11605000000</v>
      </c>
      <c r="G302" s="862">
        <v>260000000</v>
      </c>
      <c r="H302" s="862"/>
      <c r="I302" s="862"/>
      <c r="J302" s="862"/>
      <c r="K302" s="862"/>
      <c r="L302" s="862"/>
      <c r="M302" s="862"/>
      <c r="N302" s="862"/>
      <c r="O302" s="862"/>
      <c r="P302" s="862"/>
      <c r="Q302" s="862">
        <v>4000000000</v>
      </c>
      <c r="R302" s="862">
        <f t="shared" si="91"/>
        <v>4000000000</v>
      </c>
      <c r="S302" s="862">
        <v>4000000000</v>
      </c>
      <c r="T302" s="862">
        <v>0</v>
      </c>
      <c r="U302" s="862"/>
      <c r="V302" s="862"/>
      <c r="W302" s="862">
        <f t="shared" si="84"/>
        <v>4000000000</v>
      </c>
      <c r="X302" s="862">
        <f t="shared" si="85"/>
        <v>0</v>
      </c>
      <c r="Y302" s="862">
        <f t="shared" si="86"/>
        <v>4260000000</v>
      </c>
    </row>
    <row r="303" spans="1:25" ht="32.1" customHeight="1">
      <c r="A303" s="898">
        <v>11</v>
      </c>
      <c r="B303" s="899" t="s">
        <v>1026</v>
      </c>
      <c r="C303" s="900" t="s">
        <v>848</v>
      </c>
      <c r="D303" s="870" t="s">
        <v>825</v>
      </c>
      <c r="E303" s="898">
        <v>7599818</v>
      </c>
      <c r="F303" s="862">
        <v>14720000000</v>
      </c>
      <c r="G303" s="862">
        <v>150000000</v>
      </c>
      <c r="H303" s="862"/>
      <c r="I303" s="862"/>
      <c r="J303" s="862"/>
      <c r="K303" s="862"/>
      <c r="L303" s="862"/>
      <c r="M303" s="862"/>
      <c r="N303" s="862"/>
      <c r="O303" s="862"/>
      <c r="P303" s="862"/>
      <c r="Q303" s="862">
        <v>6000000000</v>
      </c>
      <c r="R303" s="862">
        <f t="shared" si="91"/>
        <v>6000000000</v>
      </c>
      <c r="S303" s="862">
        <v>5980000000</v>
      </c>
      <c r="T303" s="862">
        <v>20000000</v>
      </c>
      <c r="U303" s="862"/>
      <c r="V303" s="862"/>
      <c r="W303" s="862">
        <f t="shared" si="84"/>
        <v>5980000000</v>
      </c>
      <c r="X303" s="862">
        <f t="shared" si="85"/>
        <v>20000000</v>
      </c>
      <c r="Y303" s="862">
        <f t="shared" si="86"/>
        <v>6150000000</v>
      </c>
    </row>
    <row r="304" spans="1:25" ht="24.95" customHeight="1">
      <c r="A304" s="898">
        <v>12</v>
      </c>
      <c r="B304" s="899" t="s">
        <v>629</v>
      </c>
      <c r="C304" s="900" t="s">
        <v>842</v>
      </c>
      <c r="D304" s="870" t="s">
        <v>825</v>
      </c>
      <c r="E304" s="898">
        <v>7583402</v>
      </c>
      <c r="F304" s="862">
        <v>12985000000</v>
      </c>
      <c r="G304" s="862">
        <v>200000000</v>
      </c>
      <c r="H304" s="862"/>
      <c r="I304" s="862"/>
      <c r="J304" s="862"/>
      <c r="K304" s="862"/>
      <c r="L304" s="862"/>
      <c r="M304" s="862"/>
      <c r="N304" s="862"/>
      <c r="O304" s="862"/>
      <c r="P304" s="862"/>
      <c r="Q304" s="862">
        <v>4000000000</v>
      </c>
      <c r="R304" s="862">
        <f t="shared" si="91"/>
        <v>4000000000</v>
      </c>
      <c r="S304" s="862">
        <v>3873000000</v>
      </c>
      <c r="T304" s="862">
        <v>127000000</v>
      </c>
      <c r="U304" s="862"/>
      <c r="V304" s="862"/>
      <c r="W304" s="862">
        <f t="shared" si="84"/>
        <v>3873000000</v>
      </c>
      <c r="X304" s="862">
        <f t="shared" si="85"/>
        <v>127000000</v>
      </c>
      <c r="Y304" s="862">
        <f t="shared" si="86"/>
        <v>4200000000</v>
      </c>
    </row>
    <row r="305" spans="1:25" ht="32.1" customHeight="1">
      <c r="A305" s="914" t="s">
        <v>622</v>
      </c>
      <c r="B305" s="916" t="s">
        <v>1027</v>
      </c>
      <c r="C305" s="936"/>
      <c r="D305" s="870"/>
      <c r="E305" s="912"/>
      <c r="F305" s="884">
        <f>F306+F328</f>
        <v>1103785000000</v>
      </c>
      <c r="G305" s="884">
        <f>G306+G328</f>
        <v>438831500700</v>
      </c>
      <c r="H305" s="884">
        <f t="shared" ref="H305:Y305" si="98">H306+H328</f>
        <v>0</v>
      </c>
      <c r="I305" s="884">
        <f t="shared" si="98"/>
        <v>0</v>
      </c>
      <c r="J305" s="884">
        <f t="shared" si="98"/>
        <v>0</v>
      </c>
      <c r="K305" s="884">
        <f t="shared" si="98"/>
        <v>0</v>
      </c>
      <c r="L305" s="884">
        <f t="shared" si="98"/>
        <v>0</v>
      </c>
      <c r="M305" s="884">
        <f t="shared" si="98"/>
        <v>0</v>
      </c>
      <c r="N305" s="884">
        <f t="shared" si="98"/>
        <v>0</v>
      </c>
      <c r="O305" s="884">
        <f t="shared" si="98"/>
        <v>0</v>
      </c>
      <c r="P305" s="884">
        <f t="shared" si="98"/>
        <v>0</v>
      </c>
      <c r="Q305" s="884">
        <f t="shared" si="98"/>
        <v>79567000000</v>
      </c>
      <c r="R305" s="884">
        <f t="shared" si="98"/>
        <v>77199538300</v>
      </c>
      <c r="S305" s="884">
        <f t="shared" si="98"/>
        <v>73963132064</v>
      </c>
      <c r="T305" s="884">
        <f t="shared" si="98"/>
        <v>3236406236</v>
      </c>
      <c r="U305" s="884">
        <f t="shared" si="98"/>
        <v>0</v>
      </c>
      <c r="V305" s="884">
        <f t="shared" si="98"/>
        <v>0</v>
      </c>
      <c r="W305" s="884">
        <f>W306+W328</f>
        <v>73963132064</v>
      </c>
      <c r="X305" s="884">
        <f t="shared" si="98"/>
        <v>3236406236</v>
      </c>
      <c r="Y305" s="884">
        <f t="shared" si="98"/>
        <v>516031039000</v>
      </c>
    </row>
    <row r="306" spans="1:25" ht="15" customHeight="1">
      <c r="A306" s="901" t="s">
        <v>108</v>
      </c>
      <c r="B306" s="902" t="s">
        <v>5</v>
      </c>
      <c r="C306" s="903"/>
      <c r="D306" s="870"/>
      <c r="E306" s="901"/>
      <c r="F306" s="886">
        <f>F307+F308+F322+F323+F324+F325+F326+F327</f>
        <v>1096862000000</v>
      </c>
      <c r="G306" s="886">
        <f>G307+G308+G322+G323+G324+G325+G326+G327</f>
        <v>438831500700</v>
      </c>
      <c r="H306" s="886">
        <f t="shared" ref="H306:Y306" si="99">H307+H308+H322+H323+H324+H325+H326+H327</f>
        <v>0</v>
      </c>
      <c r="I306" s="886">
        <f t="shared" si="99"/>
        <v>0</v>
      </c>
      <c r="J306" s="886">
        <f t="shared" si="99"/>
        <v>0</v>
      </c>
      <c r="K306" s="886">
        <f t="shared" si="99"/>
        <v>0</v>
      </c>
      <c r="L306" s="886">
        <f t="shared" si="99"/>
        <v>0</v>
      </c>
      <c r="M306" s="886">
        <f t="shared" si="99"/>
        <v>0</v>
      </c>
      <c r="N306" s="886">
        <f t="shared" si="99"/>
        <v>0</v>
      </c>
      <c r="O306" s="886">
        <f t="shared" si="99"/>
        <v>0</v>
      </c>
      <c r="P306" s="886">
        <f t="shared" si="99"/>
        <v>0</v>
      </c>
      <c r="Q306" s="886">
        <f t="shared" si="99"/>
        <v>74567000000</v>
      </c>
      <c r="R306" s="886">
        <f t="shared" si="99"/>
        <v>73164966300</v>
      </c>
      <c r="S306" s="886">
        <f t="shared" si="99"/>
        <v>70032560064</v>
      </c>
      <c r="T306" s="886">
        <f t="shared" si="99"/>
        <v>3132406236</v>
      </c>
      <c r="U306" s="886">
        <f t="shared" si="99"/>
        <v>0</v>
      </c>
      <c r="V306" s="886">
        <f t="shared" si="99"/>
        <v>0</v>
      </c>
      <c r="W306" s="886">
        <f t="shared" si="99"/>
        <v>70032560064</v>
      </c>
      <c r="X306" s="886">
        <f t="shared" si="99"/>
        <v>3132406236</v>
      </c>
      <c r="Y306" s="886">
        <f t="shared" si="99"/>
        <v>511996467000</v>
      </c>
    </row>
    <row r="307" spans="1:25" ht="32.1" customHeight="1">
      <c r="A307" s="898">
        <v>1</v>
      </c>
      <c r="B307" s="899" t="s">
        <v>6</v>
      </c>
      <c r="C307" s="900" t="s">
        <v>1018</v>
      </c>
      <c r="D307" s="870" t="s">
        <v>825</v>
      </c>
      <c r="E307" s="898">
        <v>7371237</v>
      </c>
      <c r="F307" s="862">
        <v>313046000000</v>
      </c>
      <c r="G307" s="862">
        <v>16469141800</v>
      </c>
      <c r="H307" s="862"/>
      <c r="I307" s="862"/>
      <c r="J307" s="862"/>
      <c r="K307" s="862"/>
      <c r="L307" s="862"/>
      <c r="M307" s="862"/>
      <c r="N307" s="862"/>
      <c r="O307" s="862"/>
      <c r="P307" s="862"/>
      <c r="Q307" s="862">
        <v>2600000000</v>
      </c>
      <c r="R307" s="862">
        <f t="shared" si="91"/>
        <v>2549672000</v>
      </c>
      <c r="S307" s="862">
        <v>2366556740</v>
      </c>
      <c r="T307" s="862">
        <v>183115260</v>
      </c>
      <c r="U307" s="862"/>
      <c r="V307" s="862"/>
      <c r="W307" s="862">
        <f t="shared" si="84"/>
        <v>2366556740</v>
      </c>
      <c r="X307" s="862">
        <f t="shared" si="85"/>
        <v>183115260</v>
      </c>
      <c r="Y307" s="862">
        <f t="shared" si="86"/>
        <v>19018813800</v>
      </c>
    </row>
    <row r="308" spans="1:25" ht="15" customHeight="1">
      <c r="A308" s="898">
        <v>2</v>
      </c>
      <c r="B308" s="899" t="s">
        <v>1028</v>
      </c>
      <c r="C308" s="900" t="s">
        <v>1018</v>
      </c>
      <c r="D308" s="870" t="s">
        <v>825</v>
      </c>
      <c r="E308" s="898"/>
      <c r="F308" s="862">
        <f>SUM(F309:F321)</f>
        <v>39743000000</v>
      </c>
      <c r="G308" s="862">
        <f>SUM(G309:G321)</f>
        <v>14317662900</v>
      </c>
      <c r="H308" s="862">
        <f t="shared" ref="H308:Y308" si="100">SUM(H309:H321)</f>
        <v>0</v>
      </c>
      <c r="I308" s="862">
        <f t="shared" si="100"/>
        <v>0</v>
      </c>
      <c r="J308" s="862">
        <f t="shared" si="100"/>
        <v>0</v>
      </c>
      <c r="K308" s="862">
        <f t="shared" si="100"/>
        <v>0</v>
      </c>
      <c r="L308" s="862">
        <f t="shared" si="100"/>
        <v>0</v>
      </c>
      <c r="M308" s="862">
        <f t="shared" si="100"/>
        <v>0</v>
      </c>
      <c r="N308" s="862">
        <f t="shared" si="100"/>
        <v>0</v>
      </c>
      <c r="O308" s="862">
        <f t="shared" si="100"/>
        <v>0</v>
      </c>
      <c r="P308" s="862">
        <f t="shared" si="100"/>
        <v>0</v>
      </c>
      <c r="Q308" s="862">
        <f t="shared" si="100"/>
        <v>6867000000</v>
      </c>
      <c r="R308" s="862">
        <f t="shared" si="100"/>
        <v>5515294300</v>
      </c>
      <c r="S308" s="862">
        <f t="shared" si="100"/>
        <v>5426399500</v>
      </c>
      <c r="T308" s="862">
        <f t="shared" si="100"/>
        <v>88894800</v>
      </c>
      <c r="U308" s="862">
        <f t="shared" si="100"/>
        <v>0</v>
      </c>
      <c r="V308" s="862">
        <f t="shared" si="100"/>
        <v>0</v>
      </c>
      <c r="W308" s="862">
        <f>SUM(W309:W321)</f>
        <v>5426399500</v>
      </c>
      <c r="X308" s="862">
        <f t="shared" si="100"/>
        <v>88894800</v>
      </c>
      <c r="Y308" s="862">
        <f t="shared" si="100"/>
        <v>19832957200</v>
      </c>
    </row>
    <row r="309" spans="1:25" s="512" customFormat="1" ht="24.95" customHeight="1">
      <c r="A309" s="901"/>
      <c r="B309" s="925" t="s">
        <v>1525</v>
      </c>
      <c r="C309" s="903" t="s">
        <v>1018</v>
      </c>
      <c r="D309" s="879" t="s">
        <v>825</v>
      </c>
      <c r="E309" s="926">
        <v>7430146</v>
      </c>
      <c r="F309" s="886">
        <v>3500000000</v>
      </c>
      <c r="G309" s="886">
        <v>2482760400</v>
      </c>
      <c r="H309" s="886"/>
      <c r="I309" s="886"/>
      <c r="J309" s="886"/>
      <c r="K309" s="886"/>
      <c r="L309" s="886"/>
      <c r="M309" s="886"/>
      <c r="N309" s="886"/>
      <c r="O309" s="886"/>
      <c r="P309" s="886"/>
      <c r="Q309" s="886">
        <v>1055000000</v>
      </c>
      <c r="R309" s="886">
        <f t="shared" si="91"/>
        <v>1055000000</v>
      </c>
      <c r="S309" s="886">
        <v>1055000000</v>
      </c>
      <c r="T309" s="886">
        <v>0</v>
      </c>
      <c r="U309" s="886"/>
      <c r="V309" s="886"/>
      <c r="W309" s="886">
        <f t="shared" si="84"/>
        <v>1055000000</v>
      </c>
      <c r="X309" s="886">
        <f t="shared" si="85"/>
        <v>0</v>
      </c>
      <c r="Y309" s="886">
        <f t="shared" si="86"/>
        <v>3537760400</v>
      </c>
    </row>
    <row r="310" spans="1:25" s="512" customFormat="1" ht="24.95" customHeight="1">
      <c r="A310" s="901"/>
      <c r="B310" s="925" t="s">
        <v>1526</v>
      </c>
      <c r="C310" s="903" t="s">
        <v>1018</v>
      </c>
      <c r="D310" s="879" t="s">
        <v>825</v>
      </c>
      <c r="E310" s="926">
        <v>7430196</v>
      </c>
      <c r="F310" s="886">
        <v>650000000</v>
      </c>
      <c r="G310" s="886">
        <v>136395000</v>
      </c>
      <c r="H310" s="886"/>
      <c r="I310" s="886"/>
      <c r="J310" s="886"/>
      <c r="K310" s="886"/>
      <c r="L310" s="886"/>
      <c r="M310" s="886"/>
      <c r="N310" s="886"/>
      <c r="O310" s="886"/>
      <c r="P310" s="886"/>
      <c r="Q310" s="886">
        <v>134568000</v>
      </c>
      <c r="R310" s="886">
        <f t="shared" si="91"/>
        <v>134568000</v>
      </c>
      <c r="S310" s="886">
        <v>134568000</v>
      </c>
      <c r="T310" s="886">
        <v>0</v>
      </c>
      <c r="U310" s="886"/>
      <c r="V310" s="886"/>
      <c r="W310" s="886">
        <f t="shared" si="84"/>
        <v>134568000</v>
      </c>
      <c r="X310" s="886">
        <f t="shared" si="85"/>
        <v>0</v>
      </c>
      <c r="Y310" s="886">
        <f t="shared" si="86"/>
        <v>270963000</v>
      </c>
    </row>
    <row r="311" spans="1:25" s="512" customFormat="1" ht="24.95" customHeight="1">
      <c r="A311" s="901"/>
      <c r="B311" s="925" t="s">
        <v>1527</v>
      </c>
      <c r="C311" s="903" t="s">
        <v>1018</v>
      </c>
      <c r="D311" s="879" t="s">
        <v>825</v>
      </c>
      <c r="E311" s="926">
        <v>7430626</v>
      </c>
      <c r="F311" s="886">
        <v>4500000000</v>
      </c>
      <c r="G311" s="886">
        <v>1340501000</v>
      </c>
      <c r="H311" s="886"/>
      <c r="I311" s="886"/>
      <c r="J311" s="886"/>
      <c r="K311" s="886"/>
      <c r="L311" s="886"/>
      <c r="M311" s="886"/>
      <c r="N311" s="886"/>
      <c r="O311" s="886"/>
      <c r="P311" s="886"/>
      <c r="Q311" s="886">
        <v>213300000</v>
      </c>
      <c r="R311" s="886">
        <f t="shared" si="91"/>
        <v>213300000</v>
      </c>
      <c r="S311" s="886">
        <v>213300000</v>
      </c>
      <c r="T311" s="886">
        <v>0</v>
      </c>
      <c r="U311" s="886"/>
      <c r="V311" s="886"/>
      <c r="W311" s="886">
        <f t="shared" si="84"/>
        <v>213300000</v>
      </c>
      <c r="X311" s="886">
        <f t="shared" si="85"/>
        <v>0</v>
      </c>
      <c r="Y311" s="886">
        <f t="shared" si="86"/>
        <v>1553801000</v>
      </c>
    </row>
    <row r="312" spans="1:25" s="512" customFormat="1" ht="24.95" customHeight="1">
      <c r="A312" s="901"/>
      <c r="B312" s="925" t="s">
        <v>1029</v>
      </c>
      <c r="C312" s="903" t="s">
        <v>1018</v>
      </c>
      <c r="D312" s="879" t="s">
        <v>825</v>
      </c>
      <c r="E312" s="926">
        <v>7430628</v>
      </c>
      <c r="F312" s="886">
        <v>3500000000</v>
      </c>
      <c r="G312" s="886">
        <v>1023026000</v>
      </c>
      <c r="H312" s="886"/>
      <c r="I312" s="886"/>
      <c r="J312" s="886"/>
      <c r="K312" s="886"/>
      <c r="L312" s="886"/>
      <c r="M312" s="886"/>
      <c r="N312" s="886"/>
      <c r="O312" s="886"/>
      <c r="P312" s="886"/>
      <c r="Q312" s="886">
        <v>212517000</v>
      </c>
      <c r="R312" s="886">
        <f t="shared" si="91"/>
        <v>212517000</v>
      </c>
      <c r="S312" s="886">
        <v>212517000</v>
      </c>
      <c r="T312" s="886">
        <v>0</v>
      </c>
      <c r="U312" s="886"/>
      <c r="V312" s="886"/>
      <c r="W312" s="886">
        <f t="shared" ref="W312:W375" si="101">J312+M312+S312</f>
        <v>212517000</v>
      </c>
      <c r="X312" s="886">
        <f t="shared" ref="X312:X375" si="102">H312-I312-J312+N312+T312</f>
        <v>0</v>
      </c>
      <c r="Y312" s="886">
        <f t="shared" ref="Y312:Y375" si="103">G312+L312+R312</f>
        <v>1235543000</v>
      </c>
    </row>
    <row r="313" spans="1:25" s="512" customFormat="1" ht="24.95" customHeight="1">
      <c r="A313" s="901"/>
      <c r="B313" s="925" t="s">
        <v>1528</v>
      </c>
      <c r="C313" s="903" t="s">
        <v>1018</v>
      </c>
      <c r="D313" s="879" t="s">
        <v>825</v>
      </c>
      <c r="E313" s="926">
        <v>7431012</v>
      </c>
      <c r="F313" s="886">
        <v>400000000</v>
      </c>
      <c r="G313" s="886">
        <v>218199000</v>
      </c>
      <c r="H313" s="886"/>
      <c r="I313" s="886"/>
      <c r="J313" s="886"/>
      <c r="K313" s="886"/>
      <c r="L313" s="886"/>
      <c r="M313" s="886"/>
      <c r="N313" s="886"/>
      <c r="O313" s="886"/>
      <c r="P313" s="886"/>
      <c r="Q313" s="886">
        <v>100926000</v>
      </c>
      <c r="R313" s="886">
        <f t="shared" si="91"/>
        <v>64800000</v>
      </c>
      <c r="S313" s="886">
        <v>64800000</v>
      </c>
      <c r="T313" s="886">
        <v>0</v>
      </c>
      <c r="U313" s="886"/>
      <c r="V313" s="886"/>
      <c r="W313" s="886">
        <f t="shared" si="101"/>
        <v>64800000</v>
      </c>
      <c r="X313" s="886">
        <f t="shared" si="102"/>
        <v>0</v>
      </c>
      <c r="Y313" s="886">
        <f t="shared" si="103"/>
        <v>282999000</v>
      </c>
    </row>
    <row r="314" spans="1:25" s="512" customFormat="1" ht="24.95" customHeight="1">
      <c r="A314" s="901"/>
      <c r="B314" s="925" t="s">
        <v>1529</v>
      </c>
      <c r="C314" s="903" t="s">
        <v>1018</v>
      </c>
      <c r="D314" s="879" t="s">
        <v>825</v>
      </c>
      <c r="E314" s="926">
        <v>7431017</v>
      </c>
      <c r="F314" s="886">
        <v>5000000000</v>
      </c>
      <c r="G314" s="886">
        <v>1077897000</v>
      </c>
      <c r="H314" s="886"/>
      <c r="I314" s="886"/>
      <c r="J314" s="886"/>
      <c r="K314" s="886"/>
      <c r="L314" s="886"/>
      <c r="M314" s="886"/>
      <c r="N314" s="886"/>
      <c r="O314" s="886"/>
      <c r="P314" s="886"/>
      <c r="Q314" s="886">
        <v>974994360</v>
      </c>
      <c r="R314" s="886">
        <f t="shared" si="91"/>
        <v>959370000</v>
      </c>
      <c r="S314" s="886">
        <v>959370000</v>
      </c>
      <c r="T314" s="886">
        <v>0</v>
      </c>
      <c r="U314" s="886"/>
      <c r="V314" s="886"/>
      <c r="W314" s="886">
        <f t="shared" si="101"/>
        <v>959370000</v>
      </c>
      <c r="X314" s="886">
        <f t="shared" si="102"/>
        <v>0</v>
      </c>
      <c r="Y314" s="886">
        <f t="shared" si="103"/>
        <v>2037267000</v>
      </c>
    </row>
    <row r="315" spans="1:25" s="512" customFormat="1" ht="24.95" customHeight="1">
      <c r="A315" s="901"/>
      <c r="B315" s="925" t="s">
        <v>1530</v>
      </c>
      <c r="C315" s="903" t="s">
        <v>1018</v>
      </c>
      <c r="D315" s="879" t="s">
        <v>825</v>
      </c>
      <c r="E315" s="926">
        <v>7431026</v>
      </c>
      <c r="F315" s="886">
        <v>3500000000</v>
      </c>
      <c r="G315" s="886">
        <v>1524095000</v>
      </c>
      <c r="H315" s="886"/>
      <c r="I315" s="886"/>
      <c r="J315" s="886"/>
      <c r="K315" s="886"/>
      <c r="L315" s="886"/>
      <c r="M315" s="886"/>
      <c r="N315" s="886"/>
      <c r="O315" s="886"/>
      <c r="P315" s="886"/>
      <c r="Q315" s="886">
        <v>232000000</v>
      </c>
      <c r="R315" s="886">
        <f t="shared" si="91"/>
        <v>214785000</v>
      </c>
      <c r="S315" s="886">
        <v>214785000</v>
      </c>
      <c r="T315" s="886">
        <v>0</v>
      </c>
      <c r="U315" s="886"/>
      <c r="V315" s="886"/>
      <c r="W315" s="886">
        <f t="shared" si="101"/>
        <v>214785000</v>
      </c>
      <c r="X315" s="886">
        <f t="shared" si="102"/>
        <v>0</v>
      </c>
      <c r="Y315" s="886">
        <f t="shared" si="103"/>
        <v>1738880000</v>
      </c>
    </row>
    <row r="316" spans="1:25" s="512" customFormat="1" ht="24.95" customHeight="1">
      <c r="A316" s="901"/>
      <c r="B316" s="925" t="s">
        <v>1531</v>
      </c>
      <c r="C316" s="903" t="s">
        <v>1018</v>
      </c>
      <c r="D316" s="879" t="s">
        <v>825</v>
      </c>
      <c r="E316" s="926">
        <v>7431072</v>
      </c>
      <c r="F316" s="886">
        <v>5193000000</v>
      </c>
      <c r="G316" s="886">
        <v>2644844000</v>
      </c>
      <c r="H316" s="886"/>
      <c r="I316" s="886"/>
      <c r="J316" s="886"/>
      <c r="K316" s="886"/>
      <c r="L316" s="886"/>
      <c r="M316" s="886"/>
      <c r="N316" s="886"/>
      <c r="O316" s="886"/>
      <c r="P316" s="886"/>
      <c r="Q316" s="886">
        <v>2921974640</v>
      </c>
      <c r="R316" s="886">
        <f t="shared" si="91"/>
        <v>1762231800</v>
      </c>
      <c r="S316" s="886">
        <v>1673337000</v>
      </c>
      <c r="T316" s="886">
        <v>88894800</v>
      </c>
      <c r="U316" s="886"/>
      <c r="V316" s="886"/>
      <c r="W316" s="886">
        <f t="shared" si="101"/>
        <v>1673337000</v>
      </c>
      <c r="X316" s="886">
        <f t="shared" si="102"/>
        <v>88894800</v>
      </c>
      <c r="Y316" s="886">
        <f t="shared" si="103"/>
        <v>4407075800</v>
      </c>
    </row>
    <row r="317" spans="1:25" s="512" customFormat="1" ht="24.95" customHeight="1">
      <c r="A317" s="901"/>
      <c r="B317" s="925" t="s">
        <v>1532</v>
      </c>
      <c r="C317" s="903" t="s">
        <v>1018</v>
      </c>
      <c r="D317" s="879" t="s">
        <v>825</v>
      </c>
      <c r="E317" s="926">
        <v>7431726</v>
      </c>
      <c r="F317" s="886">
        <v>3500000000</v>
      </c>
      <c r="G317" s="886">
        <v>1141552500</v>
      </c>
      <c r="H317" s="886"/>
      <c r="I317" s="886"/>
      <c r="J317" s="886"/>
      <c r="K317" s="886"/>
      <c r="L317" s="886"/>
      <c r="M317" s="886"/>
      <c r="N317" s="886"/>
      <c r="O317" s="886"/>
      <c r="P317" s="886"/>
      <c r="Q317" s="886">
        <v>216000000</v>
      </c>
      <c r="R317" s="886">
        <f t="shared" ref="R317:R338" si="104">SUM(S317:T317)</f>
        <v>214867500</v>
      </c>
      <c r="S317" s="886">
        <v>214867500</v>
      </c>
      <c r="T317" s="886">
        <v>0</v>
      </c>
      <c r="U317" s="886"/>
      <c r="V317" s="886"/>
      <c r="W317" s="886">
        <f t="shared" si="101"/>
        <v>214867500</v>
      </c>
      <c r="X317" s="886">
        <f t="shared" si="102"/>
        <v>0</v>
      </c>
      <c r="Y317" s="886">
        <f t="shared" si="103"/>
        <v>1356420000</v>
      </c>
    </row>
    <row r="318" spans="1:25" s="512" customFormat="1" ht="24.95" customHeight="1">
      <c r="A318" s="901"/>
      <c r="B318" s="925" t="s">
        <v>1533</v>
      </c>
      <c r="C318" s="903" t="s">
        <v>1018</v>
      </c>
      <c r="D318" s="879" t="s">
        <v>825</v>
      </c>
      <c r="E318" s="926">
        <v>7432601</v>
      </c>
      <c r="F318" s="886">
        <v>3500000000</v>
      </c>
      <c r="G318" s="886">
        <v>882900000</v>
      </c>
      <c r="H318" s="886"/>
      <c r="I318" s="886"/>
      <c r="J318" s="886"/>
      <c r="K318" s="886"/>
      <c r="L318" s="886"/>
      <c r="M318" s="886"/>
      <c r="N318" s="886"/>
      <c r="O318" s="886"/>
      <c r="P318" s="886"/>
      <c r="Q318" s="886">
        <v>208210000</v>
      </c>
      <c r="R318" s="886">
        <f t="shared" si="104"/>
        <v>207684000</v>
      </c>
      <c r="S318" s="886">
        <v>207684000</v>
      </c>
      <c r="T318" s="886">
        <v>0</v>
      </c>
      <c r="U318" s="886"/>
      <c r="V318" s="886"/>
      <c r="W318" s="886">
        <f t="shared" si="101"/>
        <v>207684000</v>
      </c>
      <c r="X318" s="886">
        <f t="shared" si="102"/>
        <v>0</v>
      </c>
      <c r="Y318" s="886">
        <f t="shared" si="103"/>
        <v>1090584000</v>
      </c>
    </row>
    <row r="319" spans="1:25" s="512" customFormat="1" ht="24.95" customHeight="1">
      <c r="A319" s="901"/>
      <c r="B319" s="925" t="s">
        <v>1534</v>
      </c>
      <c r="C319" s="903" t="s">
        <v>1018</v>
      </c>
      <c r="D319" s="879" t="s">
        <v>825</v>
      </c>
      <c r="E319" s="926">
        <v>7432602</v>
      </c>
      <c r="F319" s="886">
        <v>1500000000</v>
      </c>
      <c r="G319" s="886">
        <v>590539000</v>
      </c>
      <c r="H319" s="886"/>
      <c r="I319" s="886"/>
      <c r="J319" s="886"/>
      <c r="K319" s="886"/>
      <c r="L319" s="886"/>
      <c r="M319" s="886"/>
      <c r="N319" s="886"/>
      <c r="O319" s="886"/>
      <c r="P319" s="886"/>
      <c r="Q319" s="886">
        <v>213300000</v>
      </c>
      <c r="R319" s="886">
        <f t="shared" si="104"/>
        <v>91961000</v>
      </c>
      <c r="S319" s="886">
        <v>91961000</v>
      </c>
      <c r="T319" s="886">
        <v>0</v>
      </c>
      <c r="U319" s="886"/>
      <c r="V319" s="886"/>
      <c r="W319" s="886">
        <f t="shared" si="101"/>
        <v>91961000</v>
      </c>
      <c r="X319" s="886">
        <f t="shared" si="102"/>
        <v>0</v>
      </c>
      <c r="Y319" s="886">
        <f t="shared" si="103"/>
        <v>682500000</v>
      </c>
    </row>
    <row r="320" spans="1:25" s="512" customFormat="1" ht="24.95" customHeight="1">
      <c r="A320" s="901"/>
      <c r="B320" s="925" t="s">
        <v>1535</v>
      </c>
      <c r="C320" s="903" t="s">
        <v>1018</v>
      </c>
      <c r="D320" s="879" t="s">
        <v>825</v>
      </c>
      <c r="E320" s="926">
        <v>7433952</v>
      </c>
      <c r="F320" s="886">
        <v>3500000000</v>
      </c>
      <c r="G320" s="886">
        <v>979956000</v>
      </c>
      <c r="H320" s="886"/>
      <c r="I320" s="886"/>
      <c r="J320" s="886"/>
      <c r="K320" s="886"/>
      <c r="L320" s="886"/>
      <c r="M320" s="886"/>
      <c r="N320" s="886"/>
      <c r="O320" s="886"/>
      <c r="P320" s="886"/>
      <c r="Q320" s="886">
        <v>216000000</v>
      </c>
      <c r="R320" s="886">
        <f t="shared" si="104"/>
        <v>216000000</v>
      </c>
      <c r="S320" s="886">
        <v>216000000</v>
      </c>
      <c r="T320" s="886">
        <v>0</v>
      </c>
      <c r="U320" s="886"/>
      <c r="V320" s="886"/>
      <c r="W320" s="886">
        <f t="shared" si="101"/>
        <v>216000000</v>
      </c>
      <c r="X320" s="886">
        <f t="shared" si="102"/>
        <v>0</v>
      </c>
      <c r="Y320" s="886">
        <f t="shared" si="103"/>
        <v>1195956000</v>
      </c>
    </row>
    <row r="321" spans="1:25" s="512" customFormat="1" ht="24.95" customHeight="1">
      <c r="A321" s="901"/>
      <c r="B321" s="925" t="s">
        <v>1536</v>
      </c>
      <c r="C321" s="903" t="s">
        <v>1018</v>
      </c>
      <c r="D321" s="879" t="s">
        <v>825</v>
      </c>
      <c r="E321" s="926">
        <v>7434555</v>
      </c>
      <c r="F321" s="886">
        <v>1500000000</v>
      </c>
      <c r="G321" s="886">
        <v>274998000</v>
      </c>
      <c r="H321" s="886"/>
      <c r="I321" s="886"/>
      <c r="J321" s="886"/>
      <c r="K321" s="886"/>
      <c r="L321" s="886"/>
      <c r="M321" s="886"/>
      <c r="N321" s="886"/>
      <c r="O321" s="886"/>
      <c r="P321" s="886"/>
      <c r="Q321" s="886">
        <v>168210000</v>
      </c>
      <c r="R321" s="886">
        <f t="shared" si="104"/>
        <v>168210000</v>
      </c>
      <c r="S321" s="886">
        <v>168210000</v>
      </c>
      <c r="T321" s="886">
        <v>0</v>
      </c>
      <c r="U321" s="886"/>
      <c r="V321" s="886"/>
      <c r="W321" s="886">
        <f t="shared" si="101"/>
        <v>168210000</v>
      </c>
      <c r="X321" s="886">
        <f t="shared" si="102"/>
        <v>0</v>
      </c>
      <c r="Y321" s="886">
        <f t="shared" si="103"/>
        <v>443208000</v>
      </c>
    </row>
    <row r="322" spans="1:25" ht="15" customHeight="1">
      <c r="A322" s="898">
        <v>3</v>
      </c>
      <c r="B322" s="899" t="s">
        <v>1030</v>
      </c>
      <c r="C322" s="900" t="s">
        <v>1018</v>
      </c>
      <c r="D322" s="870" t="s">
        <v>825</v>
      </c>
      <c r="E322" s="898">
        <v>7310799</v>
      </c>
      <c r="F322" s="862">
        <v>192397000000</v>
      </c>
      <c r="G322" s="862">
        <v>187438650000</v>
      </c>
      <c r="H322" s="862"/>
      <c r="I322" s="862"/>
      <c r="J322" s="862"/>
      <c r="K322" s="862"/>
      <c r="L322" s="862"/>
      <c r="M322" s="862"/>
      <c r="N322" s="862"/>
      <c r="O322" s="862"/>
      <c r="P322" s="862"/>
      <c r="Q322" s="862">
        <v>30000000000</v>
      </c>
      <c r="R322" s="862">
        <f t="shared" si="104"/>
        <v>30000000000</v>
      </c>
      <c r="S322" s="862">
        <v>30000000000</v>
      </c>
      <c r="T322" s="862"/>
      <c r="U322" s="862"/>
      <c r="V322" s="862"/>
      <c r="W322" s="862">
        <f t="shared" si="101"/>
        <v>30000000000</v>
      </c>
      <c r="X322" s="862">
        <f t="shared" si="102"/>
        <v>0</v>
      </c>
      <c r="Y322" s="862">
        <f t="shared" si="103"/>
        <v>217438650000</v>
      </c>
    </row>
    <row r="323" spans="1:25" ht="24.95" customHeight="1">
      <c r="A323" s="898">
        <v>4</v>
      </c>
      <c r="B323" s="899" t="s">
        <v>1031</v>
      </c>
      <c r="C323" s="900" t="s">
        <v>1018</v>
      </c>
      <c r="D323" s="870" t="s">
        <v>825</v>
      </c>
      <c r="E323" s="898">
        <v>7027469</v>
      </c>
      <c r="F323" s="862">
        <v>100500000000</v>
      </c>
      <c r="G323" s="862">
        <v>77722308000</v>
      </c>
      <c r="H323" s="862"/>
      <c r="I323" s="862"/>
      <c r="J323" s="862"/>
      <c r="K323" s="862"/>
      <c r="L323" s="862"/>
      <c r="M323" s="862"/>
      <c r="N323" s="862"/>
      <c r="O323" s="862"/>
      <c r="P323" s="862"/>
      <c r="Q323" s="862">
        <v>7500000000</v>
      </c>
      <c r="R323" s="862">
        <f t="shared" si="104"/>
        <v>7500000000</v>
      </c>
      <c r="S323" s="862">
        <v>7500000000</v>
      </c>
      <c r="T323" s="862">
        <v>0</v>
      </c>
      <c r="U323" s="862"/>
      <c r="V323" s="862"/>
      <c r="W323" s="862">
        <f t="shared" si="101"/>
        <v>7500000000</v>
      </c>
      <c r="X323" s="862">
        <f t="shared" si="102"/>
        <v>0</v>
      </c>
      <c r="Y323" s="862">
        <f t="shared" si="103"/>
        <v>85222308000</v>
      </c>
    </row>
    <row r="324" spans="1:25" ht="24.95" customHeight="1">
      <c r="A324" s="898">
        <v>5</v>
      </c>
      <c r="B324" s="899" t="s">
        <v>1032</v>
      </c>
      <c r="C324" s="900" t="s">
        <v>1033</v>
      </c>
      <c r="D324" s="870" t="s">
        <v>825</v>
      </c>
      <c r="E324" s="898">
        <v>7005815</v>
      </c>
      <c r="F324" s="862">
        <v>221161000000</v>
      </c>
      <c r="G324" s="862">
        <v>23011814000</v>
      </c>
      <c r="H324" s="862"/>
      <c r="I324" s="862"/>
      <c r="J324" s="862"/>
      <c r="K324" s="862"/>
      <c r="L324" s="862"/>
      <c r="M324" s="862"/>
      <c r="N324" s="862"/>
      <c r="O324" s="862"/>
      <c r="P324" s="862"/>
      <c r="Q324" s="862">
        <v>4600000000</v>
      </c>
      <c r="R324" s="862">
        <f t="shared" si="104"/>
        <v>4600000000</v>
      </c>
      <c r="S324" s="862">
        <v>4138148824</v>
      </c>
      <c r="T324" s="862">
        <v>461851176</v>
      </c>
      <c r="U324" s="862"/>
      <c r="V324" s="862"/>
      <c r="W324" s="862">
        <f t="shared" si="101"/>
        <v>4138148824</v>
      </c>
      <c r="X324" s="862">
        <f t="shared" si="102"/>
        <v>461851176</v>
      </c>
      <c r="Y324" s="862">
        <f t="shared" si="103"/>
        <v>27611814000</v>
      </c>
    </row>
    <row r="325" spans="1:25" ht="42" customHeight="1">
      <c r="A325" s="898">
        <v>6</v>
      </c>
      <c r="B325" s="899" t="s">
        <v>1034</v>
      </c>
      <c r="C325" s="900" t="s">
        <v>827</v>
      </c>
      <c r="D325" s="870" t="s">
        <v>825</v>
      </c>
      <c r="E325" s="898">
        <v>7070714</v>
      </c>
      <c r="F325" s="862">
        <v>114560000000</v>
      </c>
      <c r="G325" s="862">
        <v>78991966000</v>
      </c>
      <c r="H325" s="862"/>
      <c r="I325" s="862"/>
      <c r="J325" s="862"/>
      <c r="K325" s="862"/>
      <c r="L325" s="862"/>
      <c r="M325" s="862"/>
      <c r="N325" s="862"/>
      <c r="O325" s="862"/>
      <c r="P325" s="862"/>
      <c r="Q325" s="862">
        <v>8000000000</v>
      </c>
      <c r="R325" s="862">
        <f t="shared" si="104"/>
        <v>8000000000</v>
      </c>
      <c r="S325" s="862">
        <v>8000000000</v>
      </c>
      <c r="T325" s="862">
        <v>0</v>
      </c>
      <c r="U325" s="862"/>
      <c r="V325" s="862"/>
      <c r="W325" s="862">
        <f t="shared" si="101"/>
        <v>8000000000</v>
      </c>
      <c r="X325" s="862">
        <f t="shared" si="102"/>
        <v>0</v>
      </c>
      <c r="Y325" s="862">
        <f t="shared" si="103"/>
        <v>86991966000</v>
      </c>
    </row>
    <row r="326" spans="1:25" ht="32.1" customHeight="1">
      <c r="A326" s="898">
        <v>7</v>
      </c>
      <c r="B326" s="899" t="s">
        <v>1035</v>
      </c>
      <c r="C326" s="900" t="s">
        <v>1033</v>
      </c>
      <c r="D326" s="870" t="s">
        <v>825</v>
      </c>
      <c r="E326" s="898">
        <v>7006162</v>
      </c>
      <c r="F326" s="862">
        <v>71963000000</v>
      </c>
      <c r="G326" s="862">
        <v>25734606000</v>
      </c>
      <c r="H326" s="862"/>
      <c r="I326" s="862"/>
      <c r="J326" s="862"/>
      <c r="K326" s="862"/>
      <c r="L326" s="862"/>
      <c r="M326" s="862"/>
      <c r="N326" s="862"/>
      <c r="O326" s="862"/>
      <c r="P326" s="862"/>
      <c r="Q326" s="862">
        <v>7250000000</v>
      </c>
      <c r="R326" s="862">
        <f t="shared" si="104"/>
        <v>7250000000</v>
      </c>
      <c r="S326" s="862">
        <v>4963237000</v>
      </c>
      <c r="T326" s="862">
        <v>2286763000</v>
      </c>
      <c r="U326" s="862"/>
      <c r="V326" s="862"/>
      <c r="W326" s="862">
        <f t="shared" si="101"/>
        <v>4963237000</v>
      </c>
      <c r="X326" s="862">
        <f t="shared" si="102"/>
        <v>2286763000</v>
      </c>
      <c r="Y326" s="862">
        <f t="shared" si="103"/>
        <v>32984606000</v>
      </c>
    </row>
    <row r="327" spans="1:25" ht="32.1" customHeight="1">
      <c r="A327" s="898">
        <v>8</v>
      </c>
      <c r="B327" s="899" t="s">
        <v>1036</v>
      </c>
      <c r="C327" s="900" t="s">
        <v>1033</v>
      </c>
      <c r="D327" s="870" t="s">
        <v>825</v>
      </c>
      <c r="E327" s="898">
        <v>7006177</v>
      </c>
      <c r="F327" s="862">
        <v>43492000000</v>
      </c>
      <c r="G327" s="862">
        <v>15145352000</v>
      </c>
      <c r="H327" s="862"/>
      <c r="I327" s="862"/>
      <c r="J327" s="862"/>
      <c r="K327" s="862"/>
      <c r="L327" s="862"/>
      <c r="M327" s="862"/>
      <c r="N327" s="862"/>
      <c r="O327" s="862"/>
      <c r="P327" s="862"/>
      <c r="Q327" s="862">
        <v>7750000000</v>
      </c>
      <c r="R327" s="862">
        <f t="shared" si="104"/>
        <v>7750000000</v>
      </c>
      <c r="S327" s="862">
        <v>7638218000</v>
      </c>
      <c r="T327" s="862">
        <v>111782000</v>
      </c>
      <c r="U327" s="862"/>
      <c r="V327" s="862"/>
      <c r="W327" s="862">
        <f t="shared" si="101"/>
        <v>7638218000</v>
      </c>
      <c r="X327" s="862">
        <f t="shared" si="102"/>
        <v>111782000</v>
      </c>
      <c r="Y327" s="862">
        <f t="shared" si="103"/>
        <v>22895352000</v>
      </c>
    </row>
    <row r="328" spans="1:25" ht="15" customHeight="1">
      <c r="A328" s="901" t="s">
        <v>112</v>
      </c>
      <c r="B328" s="902" t="s">
        <v>858</v>
      </c>
      <c r="C328" s="903"/>
      <c r="D328" s="870"/>
      <c r="E328" s="901"/>
      <c r="F328" s="886">
        <f>F329</f>
        <v>6923000000</v>
      </c>
      <c r="G328" s="886">
        <f>G329</f>
        <v>0</v>
      </c>
      <c r="H328" s="886">
        <f t="shared" ref="H328:Y328" si="105">H329</f>
        <v>0</v>
      </c>
      <c r="I328" s="886">
        <f t="shared" si="105"/>
        <v>0</v>
      </c>
      <c r="J328" s="886">
        <f t="shared" si="105"/>
        <v>0</v>
      </c>
      <c r="K328" s="886">
        <f t="shared" si="105"/>
        <v>0</v>
      </c>
      <c r="L328" s="886">
        <f t="shared" si="105"/>
        <v>0</v>
      </c>
      <c r="M328" s="886">
        <f t="shared" si="105"/>
        <v>0</v>
      </c>
      <c r="N328" s="886">
        <f t="shared" si="105"/>
        <v>0</v>
      </c>
      <c r="O328" s="886">
        <f t="shared" si="105"/>
        <v>0</v>
      </c>
      <c r="P328" s="886">
        <f t="shared" si="105"/>
        <v>0</v>
      </c>
      <c r="Q328" s="886">
        <f t="shared" si="105"/>
        <v>5000000000</v>
      </c>
      <c r="R328" s="886">
        <f t="shared" si="105"/>
        <v>4034572000</v>
      </c>
      <c r="S328" s="886">
        <f t="shared" si="105"/>
        <v>3930572000</v>
      </c>
      <c r="T328" s="886">
        <f t="shared" si="105"/>
        <v>104000000</v>
      </c>
      <c r="U328" s="886">
        <f t="shared" si="105"/>
        <v>0</v>
      </c>
      <c r="V328" s="886">
        <f t="shared" si="105"/>
        <v>0</v>
      </c>
      <c r="W328" s="886">
        <f t="shared" si="105"/>
        <v>3930572000</v>
      </c>
      <c r="X328" s="886">
        <f t="shared" si="105"/>
        <v>104000000</v>
      </c>
      <c r="Y328" s="886">
        <f t="shared" si="105"/>
        <v>4034572000</v>
      </c>
    </row>
    <row r="329" spans="1:25" ht="32.1" customHeight="1">
      <c r="A329" s="898">
        <v>1</v>
      </c>
      <c r="B329" s="899" t="s">
        <v>1037</v>
      </c>
      <c r="C329" s="900" t="s">
        <v>1018</v>
      </c>
      <c r="D329" s="870" t="s">
        <v>825</v>
      </c>
      <c r="E329" s="898">
        <v>7605935</v>
      </c>
      <c r="F329" s="862">
        <v>6923000000</v>
      </c>
      <c r="G329" s="862"/>
      <c r="H329" s="862"/>
      <c r="I329" s="862"/>
      <c r="J329" s="862"/>
      <c r="K329" s="862"/>
      <c r="L329" s="862"/>
      <c r="M329" s="862"/>
      <c r="N329" s="862"/>
      <c r="O329" s="862"/>
      <c r="P329" s="862"/>
      <c r="Q329" s="862">
        <v>5000000000</v>
      </c>
      <c r="R329" s="862">
        <f t="shared" si="104"/>
        <v>4034572000</v>
      </c>
      <c r="S329" s="862">
        <v>3930572000</v>
      </c>
      <c r="T329" s="862">
        <v>104000000</v>
      </c>
      <c r="U329" s="862"/>
      <c r="V329" s="862"/>
      <c r="W329" s="862">
        <f t="shared" si="101"/>
        <v>3930572000</v>
      </c>
      <c r="X329" s="862">
        <f t="shared" si="102"/>
        <v>104000000</v>
      </c>
      <c r="Y329" s="862">
        <f t="shared" si="103"/>
        <v>4034572000</v>
      </c>
    </row>
    <row r="330" spans="1:25" ht="15" customHeight="1">
      <c r="A330" s="912" t="s">
        <v>1038</v>
      </c>
      <c r="B330" s="916" t="s">
        <v>900</v>
      </c>
      <c r="C330" s="919"/>
      <c r="D330" s="870"/>
      <c r="E330" s="912"/>
      <c r="F330" s="884">
        <f>SUM(F331:F338)</f>
        <v>71489000000</v>
      </c>
      <c r="G330" s="884">
        <f>SUM(G331:G338)</f>
        <v>888768000</v>
      </c>
      <c r="H330" s="884">
        <f t="shared" ref="H330:Y330" si="106">SUM(H331:H338)</f>
        <v>0</v>
      </c>
      <c r="I330" s="884">
        <f t="shared" si="106"/>
        <v>0</v>
      </c>
      <c r="J330" s="884">
        <f t="shared" si="106"/>
        <v>0</v>
      </c>
      <c r="K330" s="884">
        <f t="shared" si="106"/>
        <v>0</v>
      </c>
      <c r="L330" s="884">
        <f t="shared" si="106"/>
        <v>0</v>
      </c>
      <c r="M330" s="884">
        <f t="shared" si="106"/>
        <v>0</v>
      </c>
      <c r="N330" s="884">
        <f t="shared" si="106"/>
        <v>0</v>
      </c>
      <c r="O330" s="884">
        <f t="shared" si="106"/>
        <v>0</v>
      </c>
      <c r="P330" s="884">
        <f t="shared" si="106"/>
        <v>0</v>
      </c>
      <c r="Q330" s="884">
        <f t="shared" si="106"/>
        <v>2997000000</v>
      </c>
      <c r="R330" s="884">
        <f t="shared" si="106"/>
        <v>2897870000</v>
      </c>
      <c r="S330" s="884">
        <f t="shared" si="106"/>
        <v>2294458000</v>
      </c>
      <c r="T330" s="884">
        <f t="shared" si="106"/>
        <v>603412000</v>
      </c>
      <c r="U330" s="884">
        <f t="shared" si="106"/>
        <v>0</v>
      </c>
      <c r="V330" s="884">
        <f t="shared" si="106"/>
        <v>0</v>
      </c>
      <c r="W330" s="884">
        <f>SUM(W331:W338)</f>
        <v>2294458000</v>
      </c>
      <c r="X330" s="884">
        <f t="shared" si="106"/>
        <v>603412000</v>
      </c>
      <c r="Y330" s="884">
        <f t="shared" si="106"/>
        <v>3786638000</v>
      </c>
    </row>
    <row r="331" spans="1:25" ht="24.95" customHeight="1">
      <c r="A331" s="863">
        <v>1</v>
      </c>
      <c r="B331" s="865" t="s">
        <v>623</v>
      </c>
      <c r="C331" s="861" t="s">
        <v>840</v>
      </c>
      <c r="D331" s="870" t="s">
        <v>825</v>
      </c>
      <c r="E331" s="863">
        <v>7570996</v>
      </c>
      <c r="F331" s="862">
        <v>2618000000</v>
      </c>
      <c r="G331" s="862">
        <v>500000000</v>
      </c>
      <c r="H331" s="862"/>
      <c r="I331" s="862"/>
      <c r="J331" s="862"/>
      <c r="K331" s="862"/>
      <c r="L331" s="862"/>
      <c r="M331" s="862"/>
      <c r="N331" s="862"/>
      <c r="O331" s="862"/>
      <c r="P331" s="862"/>
      <c r="Q331" s="862">
        <v>200000000</v>
      </c>
      <c r="R331" s="862">
        <f t="shared" si="104"/>
        <v>200000000</v>
      </c>
      <c r="S331" s="862">
        <v>200000000</v>
      </c>
      <c r="T331" s="862">
        <v>0</v>
      </c>
      <c r="U331" s="862"/>
      <c r="V331" s="862"/>
      <c r="W331" s="862">
        <f t="shared" si="101"/>
        <v>200000000</v>
      </c>
      <c r="X331" s="862">
        <f t="shared" si="102"/>
        <v>0</v>
      </c>
      <c r="Y331" s="862">
        <f t="shared" si="103"/>
        <v>700000000</v>
      </c>
    </row>
    <row r="332" spans="1:25" ht="24.95" customHeight="1">
      <c r="A332" s="863">
        <v>2</v>
      </c>
      <c r="B332" s="865" t="s">
        <v>1039</v>
      </c>
      <c r="C332" s="861" t="s">
        <v>840</v>
      </c>
      <c r="D332" s="870" t="s">
        <v>825</v>
      </c>
      <c r="E332" s="863">
        <v>7618680</v>
      </c>
      <c r="F332" s="862">
        <v>14675000000</v>
      </c>
      <c r="G332" s="862"/>
      <c r="H332" s="862"/>
      <c r="I332" s="862"/>
      <c r="J332" s="862"/>
      <c r="K332" s="862"/>
      <c r="L332" s="862"/>
      <c r="M332" s="862"/>
      <c r="N332" s="862"/>
      <c r="O332" s="862"/>
      <c r="P332" s="862"/>
      <c r="Q332" s="862">
        <v>380000000</v>
      </c>
      <c r="R332" s="862">
        <f t="shared" si="104"/>
        <v>380000000</v>
      </c>
      <c r="S332" s="862">
        <v>380000000</v>
      </c>
      <c r="T332" s="862">
        <v>0</v>
      </c>
      <c r="U332" s="862"/>
      <c r="V332" s="862"/>
      <c r="W332" s="862">
        <f t="shared" si="101"/>
        <v>380000000</v>
      </c>
      <c r="X332" s="862">
        <f t="shared" si="102"/>
        <v>0</v>
      </c>
      <c r="Y332" s="862">
        <f t="shared" si="103"/>
        <v>380000000</v>
      </c>
    </row>
    <row r="333" spans="1:25" ht="32.1" customHeight="1">
      <c r="A333" s="863">
        <v>3</v>
      </c>
      <c r="B333" s="865" t="s">
        <v>1040</v>
      </c>
      <c r="C333" s="861" t="s">
        <v>840</v>
      </c>
      <c r="D333" s="870" t="s">
        <v>825</v>
      </c>
      <c r="E333" s="863">
        <v>7285907</v>
      </c>
      <c r="F333" s="862">
        <v>855000000</v>
      </c>
      <c r="G333" s="862">
        <v>268768000</v>
      </c>
      <c r="H333" s="862"/>
      <c r="I333" s="862"/>
      <c r="J333" s="862"/>
      <c r="K333" s="862"/>
      <c r="L333" s="862"/>
      <c r="M333" s="862"/>
      <c r="N333" s="862"/>
      <c r="O333" s="862"/>
      <c r="P333" s="862"/>
      <c r="Q333" s="862">
        <v>550000000</v>
      </c>
      <c r="R333" s="862">
        <f t="shared" si="104"/>
        <v>479017000</v>
      </c>
      <c r="S333" s="862">
        <v>433351000</v>
      </c>
      <c r="T333" s="862">
        <v>45666000</v>
      </c>
      <c r="U333" s="862"/>
      <c r="V333" s="862"/>
      <c r="W333" s="862">
        <f t="shared" si="101"/>
        <v>433351000</v>
      </c>
      <c r="X333" s="862">
        <f t="shared" si="102"/>
        <v>45666000</v>
      </c>
      <c r="Y333" s="862">
        <f t="shared" si="103"/>
        <v>747785000</v>
      </c>
    </row>
    <row r="334" spans="1:25" ht="32.1" customHeight="1">
      <c r="A334" s="863">
        <v>4</v>
      </c>
      <c r="B334" s="865" t="s">
        <v>1041</v>
      </c>
      <c r="C334" s="861" t="s">
        <v>871</v>
      </c>
      <c r="D334" s="870" t="s">
        <v>825</v>
      </c>
      <c r="E334" s="863">
        <v>7531666</v>
      </c>
      <c r="F334" s="862">
        <v>23475000000</v>
      </c>
      <c r="G334" s="862">
        <v>120000000</v>
      </c>
      <c r="H334" s="862"/>
      <c r="I334" s="862"/>
      <c r="J334" s="862"/>
      <c r="K334" s="862"/>
      <c r="L334" s="862"/>
      <c r="M334" s="862"/>
      <c r="N334" s="862"/>
      <c r="O334" s="862"/>
      <c r="P334" s="862"/>
      <c r="Q334" s="862">
        <v>50000000</v>
      </c>
      <c r="R334" s="862">
        <f t="shared" si="104"/>
        <v>50000000</v>
      </c>
      <c r="S334" s="862">
        <v>50000000</v>
      </c>
      <c r="T334" s="862">
        <v>0</v>
      </c>
      <c r="U334" s="862"/>
      <c r="V334" s="862"/>
      <c r="W334" s="862">
        <f t="shared" si="101"/>
        <v>50000000</v>
      </c>
      <c r="X334" s="862">
        <f t="shared" si="102"/>
        <v>0</v>
      </c>
      <c r="Y334" s="862">
        <f t="shared" si="103"/>
        <v>170000000</v>
      </c>
    </row>
    <row r="335" spans="1:25" ht="32.1" customHeight="1">
      <c r="A335" s="863">
        <v>5</v>
      </c>
      <c r="B335" s="865" t="s">
        <v>1537</v>
      </c>
      <c r="C335" s="861" t="s">
        <v>1042</v>
      </c>
      <c r="D335" s="870" t="s">
        <v>825</v>
      </c>
      <c r="E335" s="863"/>
      <c r="F335" s="862">
        <v>0</v>
      </c>
      <c r="G335" s="862"/>
      <c r="H335" s="862"/>
      <c r="I335" s="862"/>
      <c r="J335" s="862"/>
      <c r="K335" s="862"/>
      <c r="L335" s="862"/>
      <c r="M335" s="862"/>
      <c r="N335" s="862"/>
      <c r="O335" s="862"/>
      <c r="P335" s="862"/>
      <c r="Q335" s="862">
        <v>0</v>
      </c>
      <c r="R335" s="862">
        <f t="shared" si="104"/>
        <v>0</v>
      </c>
      <c r="S335" s="862"/>
      <c r="T335" s="862"/>
      <c r="U335" s="862"/>
      <c r="V335" s="862"/>
      <c r="W335" s="862">
        <f t="shared" si="101"/>
        <v>0</v>
      </c>
      <c r="X335" s="862">
        <f t="shared" si="102"/>
        <v>0</v>
      </c>
      <c r="Y335" s="862">
        <f t="shared" si="103"/>
        <v>0</v>
      </c>
    </row>
    <row r="336" spans="1:25" ht="24.95" customHeight="1">
      <c r="A336" s="863">
        <v>6</v>
      </c>
      <c r="B336" s="865" t="s">
        <v>1043</v>
      </c>
      <c r="C336" s="861" t="s">
        <v>882</v>
      </c>
      <c r="D336" s="870" t="s">
        <v>825</v>
      </c>
      <c r="E336" s="863">
        <v>7640724</v>
      </c>
      <c r="F336" s="862">
        <v>14958000000</v>
      </c>
      <c r="G336" s="862"/>
      <c r="H336" s="862"/>
      <c r="I336" s="862"/>
      <c r="J336" s="862"/>
      <c r="K336" s="862"/>
      <c r="L336" s="862"/>
      <c r="M336" s="862"/>
      <c r="N336" s="862"/>
      <c r="O336" s="862"/>
      <c r="P336" s="862"/>
      <c r="Q336" s="862">
        <v>600000000</v>
      </c>
      <c r="R336" s="862">
        <f t="shared" si="104"/>
        <v>600000000</v>
      </c>
      <c r="S336" s="862">
        <v>42254000</v>
      </c>
      <c r="T336" s="862">
        <v>557746000</v>
      </c>
      <c r="U336" s="862"/>
      <c r="V336" s="862"/>
      <c r="W336" s="862">
        <f t="shared" si="101"/>
        <v>42254000</v>
      </c>
      <c r="X336" s="862">
        <f t="shared" si="102"/>
        <v>557746000</v>
      </c>
      <c r="Y336" s="862">
        <f t="shared" si="103"/>
        <v>600000000</v>
      </c>
    </row>
    <row r="337" spans="1:25" ht="24.95" customHeight="1">
      <c r="A337" s="863">
        <v>7</v>
      </c>
      <c r="B337" s="865" t="s">
        <v>1044</v>
      </c>
      <c r="C337" s="861" t="s">
        <v>844</v>
      </c>
      <c r="D337" s="870" t="s">
        <v>825</v>
      </c>
      <c r="E337" s="863">
        <v>7659860</v>
      </c>
      <c r="F337" s="862">
        <v>0</v>
      </c>
      <c r="G337" s="862"/>
      <c r="H337" s="862"/>
      <c r="I337" s="862"/>
      <c r="J337" s="862"/>
      <c r="K337" s="862"/>
      <c r="L337" s="862"/>
      <c r="M337" s="862"/>
      <c r="N337" s="862"/>
      <c r="O337" s="862"/>
      <c r="P337" s="862"/>
      <c r="Q337" s="862">
        <v>640000000</v>
      </c>
      <c r="R337" s="862">
        <f t="shared" si="104"/>
        <v>611853000</v>
      </c>
      <c r="S337" s="862">
        <v>611853000</v>
      </c>
      <c r="T337" s="862">
        <v>0</v>
      </c>
      <c r="U337" s="862"/>
      <c r="V337" s="862"/>
      <c r="W337" s="862">
        <f t="shared" si="101"/>
        <v>611853000</v>
      </c>
      <c r="X337" s="862">
        <f t="shared" si="102"/>
        <v>0</v>
      </c>
      <c r="Y337" s="862">
        <f t="shared" si="103"/>
        <v>611853000</v>
      </c>
    </row>
    <row r="338" spans="1:25" ht="24.95" customHeight="1">
      <c r="A338" s="863">
        <v>8</v>
      </c>
      <c r="B338" s="865" t="s">
        <v>1045</v>
      </c>
      <c r="C338" s="861" t="s">
        <v>835</v>
      </c>
      <c r="D338" s="870" t="s">
        <v>825</v>
      </c>
      <c r="E338" s="863">
        <v>7618945</v>
      </c>
      <c r="F338" s="862">
        <v>14908000000</v>
      </c>
      <c r="G338" s="862"/>
      <c r="H338" s="862"/>
      <c r="I338" s="862"/>
      <c r="J338" s="862"/>
      <c r="K338" s="862"/>
      <c r="L338" s="862"/>
      <c r="M338" s="862"/>
      <c r="N338" s="862"/>
      <c r="O338" s="862"/>
      <c r="P338" s="862"/>
      <c r="Q338" s="862">
        <v>577000000</v>
      </c>
      <c r="R338" s="862">
        <f t="shared" si="104"/>
        <v>577000000</v>
      </c>
      <c r="S338" s="862">
        <v>577000000</v>
      </c>
      <c r="T338" s="862">
        <v>0</v>
      </c>
      <c r="U338" s="862"/>
      <c r="V338" s="862"/>
      <c r="W338" s="862">
        <f t="shared" si="101"/>
        <v>577000000</v>
      </c>
      <c r="X338" s="862">
        <f t="shared" si="102"/>
        <v>0</v>
      </c>
      <c r="Y338" s="862">
        <f t="shared" si="103"/>
        <v>577000000</v>
      </c>
    </row>
    <row r="339" spans="1:25" hidden="1">
      <c r="A339" s="863"/>
      <c r="B339" s="865"/>
      <c r="C339" s="861"/>
      <c r="D339" s="870"/>
      <c r="E339" s="863"/>
      <c r="F339" s="862">
        <v>0</v>
      </c>
      <c r="G339" s="862"/>
      <c r="H339" s="862"/>
      <c r="I339" s="862"/>
      <c r="J339" s="862"/>
      <c r="K339" s="862"/>
      <c r="L339" s="862"/>
      <c r="M339" s="862"/>
      <c r="N339" s="862"/>
      <c r="O339" s="862"/>
      <c r="P339" s="862"/>
      <c r="Q339" s="862"/>
      <c r="R339" s="862"/>
      <c r="S339" s="862"/>
      <c r="T339" s="862"/>
      <c r="U339" s="862"/>
      <c r="V339" s="862"/>
      <c r="W339" s="862">
        <f t="shared" si="101"/>
        <v>0</v>
      </c>
      <c r="X339" s="862">
        <f t="shared" si="102"/>
        <v>0</v>
      </c>
      <c r="Y339" s="862">
        <f t="shared" si="103"/>
        <v>0</v>
      </c>
    </row>
    <row r="340" spans="1:25" hidden="1">
      <c r="A340" s="870" t="s">
        <v>799</v>
      </c>
      <c r="B340" s="887" t="s">
        <v>800</v>
      </c>
      <c r="C340" s="876"/>
      <c r="D340" s="870"/>
      <c r="E340" s="870"/>
      <c r="F340" s="862">
        <v>0</v>
      </c>
      <c r="G340" s="862"/>
      <c r="H340" s="862"/>
      <c r="I340" s="862"/>
      <c r="J340" s="862"/>
      <c r="K340" s="862"/>
      <c r="L340" s="862"/>
      <c r="M340" s="862"/>
      <c r="N340" s="862"/>
      <c r="O340" s="862"/>
      <c r="P340" s="862"/>
      <c r="Q340" s="862"/>
      <c r="R340" s="862">
        <f t="shared" ref="R340:R727" si="107">SUM(S340:T340)</f>
        <v>0</v>
      </c>
      <c r="S340" s="862"/>
      <c r="T340" s="862"/>
      <c r="U340" s="862"/>
      <c r="V340" s="862"/>
      <c r="W340" s="862">
        <f t="shared" si="101"/>
        <v>0</v>
      </c>
      <c r="X340" s="862">
        <f t="shared" si="102"/>
        <v>0</v>
      </c>
      <c r="Y340" s="862">
        <f t="shared" si="103"/>
        <v>0</v>
      </c>
    </row>
    <row r="341" spans="1:25" hidden="1">
      <c r="A341" s="870" t="s">
        <v>801</v>
      </c>
      <c r="B341" s="887" t="s">
        <v>802</v>
      </c>
      <c r="C341" s="876"/>
      <c r="D341" s="870"/>
      <c r="E341" s="870"/>
      <c r="F341" s="862">
        <v>0</v>
      </c>
      <c r="G341" s="862"/>
      <c r="H341" s="862"/>
      <c r="I341" s="862"/>
      <c r="J341" s="862"/>
      <c r="K341" s="862"/>
      <c r="L341" s="862"/>
      <c r="M341" s="862"/>
      <c r="N341" s="862"/>
      <c r="O341" s="862"/>
      <c r="P341" s="862"/>
      <c r="Q341" s="862"/>
      <c r="R341" s="862">
        <f t="shared" si="107"/>
        <v>0</v>
      </c>
      <c r="S341" s="862"/>
      <c r="T341" s="862"/>
      <c r="U341" s="862"/>
      <c r="V341" s="862"/>
      <c r="W341" s="862">
        <f t="shared" si="101"/>
        <v>0</v>
      </c>
      <c r="X341" s="862">
        <f t="shared" si="102"/>
        <v>0</v>
      </c>
      <c r="Y341" s="862">
        <f t="shared" si="103"/>
        <v>0</v>
      </c>
    </row>
    <row r="342" spans="1:25" ht="21" hidden="1">
      <c r="A342" s="871">
        <v>2</v>
      </c>
      <c r="B342" s="883" t="s">
        <v>803</v>
      </c>
      <c r="C342" s="875"/>
      <c r="D342" s="870"/>
      <c r="E342" s="871"/>
      <c r="F342" s="862">
        <v>0</v>
      </c>
      <c r="G342" s="862"/>
      <c r="H342" s="884"/>
      <c r="I342" s="884"/>
      <c r="J342" s="884"/>
      <c r="K342" s="884"/>
      <c r="L342" s="884"/>
      <c r="M342" s="884"/>
      <c r="N342" s="884"/>
      <c r="O342" s="884"/>
      <c r="P342" s="884"/>
      <c r="Q342" s="884"/>
      <c r="R342" s="862">
        <f t="shared" si="107"/>
        <v>0</v>
      </c>
      <c r="S342" s="884"/>
      <c r="T342" s="884"/>
      <c r="U342" s="884"/>
      <c r="V342" s="884"/>
      <c r="W342" s="862">
        <f t="shared" si="101"/>
        <v>0</v>
      </c>
      <c r="X342" s="862">
        <f t="shared" si="102"/>
        <v>0</v>
      </c>
      <c r="Y342" s="862">
        <f t="shared" si="103"/>
        <v>0</v>
      </c>
    </row>
    <row r="343" spans="1:25" hidden="1">
      <c r="A343" s="870"/>
      <c r="B343" s="887" t="s">
        <v>804</v>
      </c>
      <c r="C343" s="876"/>
      <c r="D343" s="870"/>
      <c r="E343" s="870"/>
      <c r="F343" s="862">
        <v>0</v>
      </c>
      <c r="G343" s="862"/>
      <c r="H343" s="862"/>
      <c r="I343" s="862"/>
      <c r="J343" s="862"/>
      <c r="K343" s="862"/>
      <c r="L343" s="862"/>
      <c r="M343" s="862"/>
      <c r="N343" s="862"/>
      <c r="O343" s="862"/>
      <c r="P343" s="862"/>
      <c r="Q343" s="862"/>
      <c r="R343" s="862">
        <f t="shared" si="107"/>
        <v>0</v>
      </c>
      <c r="S343" s="862"/>
      <c r="T343" s="862"/>
      <c r="U343" s="862"/>
      <c r="V343" s="862"/>
      <c r="W343" s="862">
        <f t="shared" si="101"/>
        <v>0</v>
      </c>
      <c r="X343" s="862">
        <f t="shared" si="102"/>
        <v>0</v>
      </c>
      <c r="Y343" s="862">
        <f t="shared" si="103"/>
        <v>0</v>
      </c>
    </row>
    <row r="344" spans="1:25" hidden="1">
      <c r="A344" s="870"/>
      <c r="B344" s="887" t="s">
        <v>1046</v>
      </c>
      <c r="C344" s="876"/>
      <c r="D344" s="870"/>
      <c r="E344" s="870"/>
      <c r="F344" s="862">
        <v>0</v>
      </c>
      <c r="G344" s="862"/>
      <c r="H344" s="862"/>
      <c r="I344" s="862"/>
      <c r="J344" s="862"/>
      <c r="K344" s="862"/>
      <c r="L344" s="862"/>
      <c r="M344" s="862"/>
      <c r="N344" s="862"/>
      <c r="O344" s="862"/>
      <c r="P344" s="862"/>
      <c r="Q344" s="862"/>
      <c r="R344" s="862">
        <f t="shared" si="107"/>
        <v>0</v>
      </c>
      <c r="S344" s="862"/>
      <c r="T344" s="862"/>
      <c r="U344" s="862"/>
      <c r="V344" s="862"/>
      <c r="W344" s="862">
        <f t="shared" si="101"/>
        <v>0</v>
      </c>
      <c r="X344" s="862">
        <f t="shared" si="102"/>
        <v>0</v>
      </c>
      <c r="Y344" s="862">
        <f t="shared" si="103"/>
        <v>0</v>
      </c>
    </row>
    <row r="345" spans="1:25" ht="15" customHeight="1">
      <c r="A345" s="871" t="s">
        <v>112</v>
      </c>
      <c r="B345" s="883" t="s">
        <v>805</v>
      </c>
      <c r="C345" s="875"/>
      <c r="D345" s="870"/>
      <c r="E345" s="871"/>
      <c r="F345" s="884">
        <f>SUM(F346:F347)</f>
        <v>12414956000000</v>
      </c>
      <c r="G345" s="884">
        <f t="shared" ref="G345:Y345" si="108">SUM(G346:G347)</f>
        <v>4529875025120</v>
      </c>
      <c r="H345" s="884">
        <f t="shared" si="108"/>
        <v>0</v>
      </c>
      <c r="I345" s="884">
        <f t="shared" si="108"/>
        <v>0</v>
      </c>
      <c r="J345" s="884">
        <f t="shared" si="108"/>
        <v>0</v>
      </c>
      <c r="K345" s="884">
        <f t="shared" si="108"/>
        <v>245643000000</v>
      </c>
      <c r="L345" s="884">
        <f t="shared" si="108"/>
        <v>217394944062</v>
      </c>
      <c r="M345" s="884">
        <f t="shared" si="108"/>
        <v>183867165062</v>
      </c>
      <c r="N345" s="884">
        <f t="shared" si="108"/>
        <v>33527779000</v>
      </c>
      <c r="O345" s="884">
        <f t="shared" si="108"/>
        <v>0</v>
      </c>
      <c r="P345" s="884">
        <f t="shared" si="108"/>
        <v>485289241</v>
      </c>
      <c r="Q345" s="884">
        <f t="shared" si="108"/>
        <v>840548000000</v>
      </c>
      <c r="R345" s="884">
        <f t="shared" si="108"/>
        <v>695148882823</v>
      </c>
      <c r="S345" s="884">
        <f t="shared" si="108"/>
        <v>595780343364</v>
      </c>
      <c r="T345" s="884">
        <f t="shared" si="108"/>
        <v>99368539459</v>
      </c>
      <c r="U345" s="884">
        <f t="shared" si="108"/>
        <v>0</v>
      </c>
      <c r="V345" s="884">
        <f t="shared" si="108"/>
        <v>26002162032</v>
      </c>
      <c r="W345" s="884">
        <f t="shared" si="108"/>
        <v>782861508426</v>
      </c>
      <c r="X345" s="884">
        <f t="shared" si="108"/>
        <v>132896318459</v>
      </c>
      <c r="Y345" s="884">
        <f t="shared" si="108"/>
        <v>5440871141246</v>
      </c>
    </row>
    <row r="346" spans="1:25" s="512" customFormat="1" ht="15" customHeight="1">
      <c r="A346" s="879"/>
      <c r="B346" s="885" t="s">
        <v>2</v>
      </c>
      <c r="C346" s="880"/>
      <c r="D346" s="879"/>
      <c r="E346" s="879"/>
      <c r="F346" s="886">
        <f t="shared" ref="F346:Y346" si="109">F348+F349+F386+F428+F460+F461+F468</f>
        <v>10514889000000</v>
      </c>
      <c r="G346" s="886">
        <f t="shared" si="109"/>
        <v>3696575295778</v>
      </c>
      <c r="H346" s="886">
        <f t="shared" si="109"/>
        <v>0</v>
      </c>
      <c r="I346" s="886">
        <f t="shared" si="109"/>
        <v>0</v>
      </c>
      <c r="J346" s="886">
        <f t="shared" si="109"/>
        <v>0</v>
      </c>
      <c r="K346" s="886">
        <f t="shared" si="109"/>
        <v>245643000000</v>
      </c>
      <c r="L346" s="886">
        <f t="shared" si="109"/>
        <v>217394944062</v>
      </c>
      <c r="M346" s="886">
        <f t="shared" si="109"/>
        <v>183867165062</v>
      </c>
      <c r="N346" s="886">
        <f t="shared" si="109"/>
        <v>33527779000</v>
      </c>
      <c r="O346" s="886">
        <f t="shared" si="109"/>
        <v>0</v>
      </c>
      <c r="P346" s="886">
        <f t="shared" si="109"/>
        <v>485289241</v>
      </c>
      <c r="Q346" s="886">
        <f t="shared" si="109"/>
        <v>395719000000</v>
      </c>
      <c r="R346" s="886">
        <f t="shared" si="109"/>
        <v>331482126000</v>
      </c>
      <c r="S346" s="886">
        <f t="shared" si="109"/>
        <v>232113586541</v>
      </c>
      <c r="T346" s="886">
        <f t="shared" si="109"/>
        <v>99368539459</v>
      </c>
      <c r="U346" s="886">
        <f t="shared" si="109"/>
        <v>0</v>
      </c>
      <c r="V346" s="886">
        <f t="shared" si="109"/>
        <v>0</v>
      </c>
      <c r="W346" s="886">
        <f t="shared" si="109"/>
        <v>415980751603</v>
      </c>
      <c r="X346" s="886">
        <f t="shared" si="109"/>
        <v>132896318459</v>
      </c>
      <c r="Y346" s="886">
        <f t="shared" si="109"/>
        <v>4243904655081</v>
      </c>
    </row>
    <row r="347" spans="1:25" s="512" customFormat="1" ht="15" customHeight="1">
      <c r="A347" s="879"/>
      <c r="B347" s="885" t="s">
        <v>3</v>
      </c>
      <c r="C347" s="880"/>
      <c r="D347" s="879"/>
      <c r="E347" s="879"/>
      <c r="F347" s="886">
        <f>F394</f>
        <v>1900067000000</v>
      </c>
      <c r="G347" s="886">
        <f t="shared" ref="G347:Y347" si="110">G394</f>
        <v>833299729342</v>
      </c>
      <c r="H347" s="886">
        <f t="shared" si="110"/>
        <v>0</v>
      </c>
      <c r="I347" s="886">
        <f t="shared" si="110"/>
        <v>0</v>
      </c>
      <c r="J347" s="886">
        <f t="shared" si="110"/>
        <v>0</v>
      </c>
      <c r="K347" s="886">
        <f t="shared" si="110"/>
        <v>0</v>
      </c>
      <c r="L347" s="886">
        <f t="shared" si="110"/>
        <v>0</v>
      </c>
      <c r="M347" s="886">
        <f t="shared" si="110"/>
        <v>0</v>
      </c>
      <c r="N347" s="886">
        <f t="shared" si="110"/>
        <v>0</v>
      </c>
      <c r="O347" s="886">
        <f t="shared" si="110"/>
        <v>0</v>
      </c>
      <c r="P347" s="886">
        <f t="shared" si="110"/>
        <v>0</v>
      </c>
      <c r="Q347" s="886">
        <f t="shared" si="110"/>
        <v>444829000000</v>
      </c>
      <c r="R347" s="886">
        <f t="shared" si="110"/>
        <v>363666756823</v>
      </c>
      <c r="S347" s="886">
        <f t="shared" si="110"/>
        <v>363666756823</v>
      </c>
      <c r="T347" s="886">
        <f t="shared" si="110"/>
        <v>0</v>
      </c>
      <c r="U347" s="886">
        <f t="shared" si="110"/>
        <v>0</v>
      </c>
      <c r="V347" s="886">
        <f t="shared" si="110"/>
        <v>26002162032</v>
      </c>
      <c r="W347" s="886">
        <f>W394</f>
        <v>366880756823</v>
      </c>
      <c r="X347" s="886">
        <f t="shared" si="110"/>
        <v>0</v>
      </c>
      <c r="Y347" s="886">
        <f t="shared" si="110"/>
        <v>1196966486165</v>
      </c>
    </row>
    <row r="348" spans="1:25" ht="15" customHeight="1">
      <c r="A348" s="871">
        <v>1</v>
      </c>
      <c r="B348" s="883" t="s">
        <v>806</v>
      </c>
      <c r="C348" s="875"/>
      <c r="D348" s="870"/>
      <c r="E348" s="871"/>
      <c r="F348" s="862">
        <v>0</v>
      </c>
      <c r="G348" s="862"/>
      <c r="H348" s="884"/>
      <c r="I348" s="884"/>
      <c r="J348" s="884"/>
      <c r="K348" s="884"/>
      <c r="L348" s="884"/>
      <c r="M348" s="884"/>
      <c r="N348" s="884"/>
      <c r="O348" s="884"/>
      <c r="P348" s="884"/>
      <c r="Q348" s="884"/>
      <c r="R348" s="862">
        <f t="shared" si="107"/>
        <v>0</v>
      </c>
      <c r="S348" s="884"/>
      <c r="T348" s="884"/>
      <c r="U348" s="884"/>
      <c r="V348" s="884"/>
      <c r="W348" s="862">
        <f t="shared" si="101"/>
        <v>0</v>
      </c>
      <c r="X348" s="862">
        <f t="shared" si="102"/>
        <v>0</v>
      </c>
      <c r="Y348" s="862">
        <f t="shared" si="103"/>
        <v>0</v>
      </c>
    </row>
    <row r="349" spans="1:25" ht="15" customHeight="1">
      <c r="A349" s="871">
        <v>2</v>
      </c>
      <c r="B349" s="883" t="s">
        <v>1047</v>
      </c>
      <c r="C349" s="875"/>
      <c r="D349" s="870"/>
      <c r="E349" s="871"/>
      <c r="F349" s="884">
        <f>F350+F372+F377+F380</f>
        <v>5846559000000</v>
      </c>
      <c r="G349" s="884">
        <f t="shared" ref="G349:Y349" si="111">G350+G372+G377+G380</f>
        <v>1071731864959</v>
      </c>
      <c r="H349" s="884">
        <f t="shared" si="111"/>
        <v>0</v>
      </c>
      <c r="I349" s="884">
        <f t="shared" si="111"/>
        <v>0</v>
      </c>
      <c r="J349" s="884">
        <f t="shared" si="111"/>
        <v>0</v>
      </c>
      <c r="K349" s="884">
        <f t="shared" si="111"/>
        <v>26686000000</v>
      </c>
      <c r="L349" s="884">
        <f t="shared" si="111"/>
        <v>23153716000</v>
      </c>
      <c r="M349" s="884">
        <f t="shared" si="111"/>
        <v>14830639000</v>
      </c>
      <c r="N349" s="884">
        <f t="shared" si="111"/>
        <v>8323077000</v>
      </c>
      <c r="O349" s="884">
        <f t="shared" si="111"/>
        <v>0</v>
      </c>
      <c r="P349" s="884">
        <f t="shared" si="111"/>
        <v>0</v>
      </c>
      <c r="Q349" s="884">
        <f t="shared" si="111"/>
        <v>189679000000</v>
      </c>
      <c r="R349" s="884">
        <f t="shared" si="111"/>
        <v>189649638000</v>
      </c>
      <c r="S349" s="884">
        <f t="shared" si="111"/>
        <v>170510162093</v>
      </c>
      <c r="T349" s="884">
        <f t="shared" si="111"/>
        <v>19139475907</v>
      </c>
      <c r="U349" s="884">
        <f t="shared" si="111"/>
        <v>0</v>
      </c>
      <c r="V349" s="884">
        <f t="shared" si="111"/>
        <v>0</v>
      </c>
      <c r="W349" s="884">
        <f>W350+W372+W377+W380</f>
        <v>185340801093</v>
      </c>
      <c r="X349" s="884">
        <f t="shared" si="111"/>
        <v>27462552907</v>
      </c>
      <c r="Y349" s="884">
        <f t="shared" si="111"/>
        <v>1284535218959</v>
      </c>
    </row>
    <row r="350" spans="1:25" s="514" customFormat="1" ht="24.95" customHeight="1">
      <c r="A350" s="888"/>
      <c r="B350" s="933" t="s">
        <v>1048</v>
      </c>
      <c r="C350" s="890"/>
      <c r="D350" s="888"/>
      <c r="E350" s="929"/>
      <c r="F350" s="891">
        <f>SUM(F352:F371)</f>
        <v>3756449000000</v>
      </c>
      <c r="G350" s="891">
        <f t="shared" ref="G350:Y350" si="112">SUM(G352:G371)</f>
        <v>817665223370</v>
      </c>
      <c r="H350" s="891">
        <f t="shared" si="112"/>
        <v>0</v>
      </c>
      <c r="I350" s="891">
        <f t="shared" si="112"/>
        <v>0</v>
      </c>
      <c r="J350" s="891">
        <f t="shared" si="112"/>
        <v>0</v>
      </c>
      <c r="K350" s="891">
        <f t="shared" si="112"/>
        <v>6734000000</v>
      </c>
      <c r="L350" s="891">
        <f t="shared" si="112"/>
        <v>6734000000</v>
      </c>
      <c r="M350" s="891">
        <f t="shared" si="112"/>
        <v>753423000</v>
      </c>
      <c r="N350" s="891">
        <f t="shared" si="112"/>
        <v>5980577000</v>
      </c>
      <c r="O350" s="891">
        <f t="shared" si="112"/>
        <v>0</v>
      </c>
      <c r="P350" s="891">
        <f t="shared" si="112"/>
        <v>0</v>
      </c>
      <c r="Q350" s="891">
        <f t="shared" si="112"/>
        <v>126679000000</v>
      </c>
      <c r="R350" s="891">
        <f t="shared" si="112"/>
        <v>126649638000</v>
      </c>
      <c r="S350" s="891">
        <f t="shared" si="112"/>
        <v>110749163677</v>
      </c>
      <c r="T350" s="891">
        <f t="shared" si="112"/>
        <v>15900474323</v>
      </c>
      <c r="U350" s="891">
        <f t="shared" si="112"/>
        <v>0</v>
      </c>
      <c r="V350" s="891">
        <f t="shared" si="112"/>
        <v>0</v>
      </c>
      <c r="W350" s="891">
        <f>SUM(W352:W371)</f>
        <v>111502586677</v>
      </c>
      <c r="X350" s="891">
        <f t="shared" si="112"/>
        <v>21881051323</v>
      </c>
      <c r="Y350" s="891">
        <f t="shared" si="112"/>
        <v>951048861370</v>
      </c>
    </row>
    <row r="351" spans="1:25" s="514" customFormat="1" ht="24.95" customHeight="1">
      <c r="A351" s="888"/>
      <c r="B351" s="933" t="s">
        <v>1049</v>
      </c>
      <c r="C351" s="890"/>
      <c r="D351" s="888"/>
      <c r="E351" s="929"/>
      <c r="F351" s="891"/>
      <c r="G351" s="891"/>
      <c r="H351" s="891"/>
      <c r="I351" s="891"/>
      <c r="J351" s="891"/>
      <c r="K351" s="891"/>
      <c r="L351" s="891"/>
      <c r="M351" s="891"/>
      <c r="N351" s="891"/>
      <c r="O351" s="891"/>
      <c r="P351" s="891"/>
      <c r="Q351" s="891"/>
      <c r="R351" s="891"/>
      <c r="S351" s="891"/>
      <c r="T351" s="891"/>
      <c r="U351" s="891"/>
      <c r="V351" s="891"/>
      <c r="W351" s="891"/>
      <c r="X351" s="891"/>
      <c r="Y351" s="891"/>
    </row>
    <row r="352" spans="1:25" ht="24.95" customHeight="1">
      <c r="A352" s="870"/>
      <c r="B352" s="865" t="s">
        <v>1050</v>
      </c>
      <c r="C352" s="876"/>
      <c r="D352" s="870" t="s">
        <v>825</v>
      </c>
      <c r="E352" s="863">
        <v>7296707</v>
      </c>
      <c r="F352" s="862">
        <v>249966000000</v>
      </c>
      <c r="G352" s="862">
        <v>10919000000</v>
      </c>
      <c r="H352" s="862"/>
      <c r="I352" s="862"/>
      <c r="J352" s="862"/>
      <c r="K352" s="862"/>
      <c r="L352" s="862"/>
      <c r="M352" s="862"/>
      <c r="N352" s="862"/>
      <c r="O352" s="862"/>
      <c r="P352" s="862"/>
      <c r="Q352" s="862">
        <v>8000000000</v>
      </c>
      <c r="R352" s="862">
        <v>8000000000</v>
      </c>
      <c r="S352" s="862">
        <v>7981749000</v>
      </c>
      <c r="T352" s="862">
        <f t="shared" ref="T352:T371" si="113">R352-S352</f>
        <v>18251000</v>
      </c>
      <c r="U352" s="862"/>
      <c r="V352" s="862"/>
      <c r="W352" s="862">
        <f t="shared" si="101"/>
        <v>7981749000</v>
      </c>
      <c r="X352" s="862">
        <f t="shared" si="102"/>
        <v>18251000</v>
      </c>
      <c r="Y352" s="862">
        <f t="shared" si="103"/>
        <v>18919000000</v>
      </c>
    </row>
    <row r="353" spans="1:25" s="514" customFormat="1" ht="24.95" customHeight="1">
      <c r="A353" s="888"/>
      <c r="B353" s="933" t="s">
        <v>1051</v>
      </c>
      <c r="C353" s="890"/>
      <c r="D353" s="870"/>
      <c r="E353" s="929"/>
      <c r="F353" s="891"/>
      <c r="G353" s="862"/>
      <c r="H353" s="891"/>
      <c r="I353" s="891"/>
      <c r="J353" s="891"/>
      <c r="K353" s="891"/>
      <c r="L353" s="891"/>
      <c r="M353" s="891"/>
      <c r="N353" s="891"/>
      <c r="O353" s="891"/>
      <c r="P353" s="891"/>
      <c r="Q353" s="891"/>
      <c r="R353" s="891"/>
      <c r="S353" s="891"/>
      <c r="T353" s="891"/>
      <c r="U353" s="891"/>
      <c r="V353" s="891"/>
      <c r="W353" s="862">
        <f t="shared" si="101"/>
        <v>0</v>
      </c>
      <c r="X353" s="862">
        <f t="shared" si="102"/>
        <v>0</v>
      </c>
      <c r="Y353" s="862">
        <f t="shared" si="103"/>
        <v>0</v>
      </c>
    </row>
    <row r="354" spans="1:25" ht="24.95" customHeight="1">
      <c r="A354" s="870"/>
      <c r="B354" s="865" t="s">
        <v>531</v>
      </c>
      <c r="C354" s="876"/>
      <c r="D354" s="870" t="s">
        <v>825</v>
      </c>
      <c r="E354" s="863">
        <v>7199192</v>
      </c>
      <c r="F354" s="862">
        <v>1204455000000</v>
      </c>
      <c r="G354" s="862">
        <v>20000000000</v>
      </c>
      <c r="H354" s="862"/>
      <c r="I354" s="862"/>
      <c r="J354" s="862"/>
      <c r="K354" s="862"/>
      <c r="L354" s="862"/>
      <c r="M354" s="862"/>
      <c r="N354" s="862"/>
      <c r="O354" s="862"/>
      <c r="P354" s="862"/>
      <c r="Q354" s="862">
        <v>18209000000</v>
      </c>
      <c r="R354" s="862">
        <v>18179638000</v>
      </c>
      <c r="S354" s="862">
        <v>16579703301</v>
      </c>
      <c r="T354" s="862">
        <f t="shared" si="113"/>
        <v>1599934699</v>
      </c>
      <c r="U354" s="862"/>
      <c r="V354" s="862"/>
      <c r="W354" s="862">
        <f t="shared" si="101"/>
        <v>16579703301</v>
      </c>
      <c r="X354" s="862">
        <f t="shared" si="102"/>
        <v>1599934699</v>
      </c>
      <c r="Y354" s="862">
        <f>G354+L354+R354</f>
        <v>38179638000</v>
      </c>
    </row>
    <row r="355" spans="1:25" ht="24.95" customHeight="1">
      <c r="A355" s="870"/>
      <c r="B355" s="933" t="s">
        <v>1052</v>
      </c>
      <c r="C355" s="876"/>
      <c r="D355" s="870"/>
      <c r="E355" s="863"/>
      <c r="F355" s="862">
        <v>0</v>
      </c>
      <c r="G355" s="862"/>
      <c r="H355" s="862"/>
      <c r="I355" s="862"/>
      <c r="J355" s="862"/>
      <c r="K355" s="862"/>
      <c r="L355" s="862"/>
      <c r="M355" s="862"/>
      <c r="N355" s="862"/>
      <c r="O355" s="862"/>
      <c r="P355" s="862"/>
      <c r="Q355" s="862"/>
      <c r="R355" s="862"/>
      <c r="S355" s="862"/>
      <c r="T355" s="862"/>
      <c r="U355" s="862"/>
      <c r="V355" s="862"/>
      <c r="W355" s="862">
        <f t="shared" si="101"/>
        <v>0</v>
      </c>
      <c r="X355" s="862">
        <f t="shared" si="102"/>
        <v>0</v>
      </c>
      <c r="Y355" s="862">
        <f t="shared" si="103"/>
        <v>0</v>
      </c>
    </row>
    <row r="356" spans="1:25" ht="32.1" customHeight="1">
      <c r="A356" s="870"/>
      <c r="B356" s="865" t="s">
        <v>1053</v>
      </c>
      <c r="C356" s="876"/>
      <c r="D356" s="870" t="s">
        <v>825</v>
      </c>
      <c r="E356" s="863">
        <v>7027480</v>
      </c>
      <c r="F356" s="862">
        <v>134163000000</v>
      </c>
      <c r="G356" s="862">
        <v>28901721000</v>
      </c>
      <c r="H356" s="862"/>
      <c r="I356" s="862"/>
      <c r="J356" s="862"/>
      <c r="K356" s="862"/>
      <c r="L356" s="862"/>
      <c r="M356" s="862"/>
      <c r="N356" s="862"/>
      <c r="O356" s="862"/>
      <c r="P356" s="862"/>
      <c r="Q356" s="862">
        <v>5000000000</v>
      </c>
      <c r="R356" s="862">
        <v>5000000000</v>
      </c>
      <c r="S356" s="862">
        <v>5000000000</v>
      </c>
      <c r="T356" s="862">
        <f t="shared" si="113"/>
        <v>0</v>
      </c>
      <c r="U356" s="862"/>
      <c r="V356" s="862"/>
      <c r="W356" s="862">
        <f t="shared" si="101"/>
        <v>5000000000</v>
      </c>
      <c r="X356" s="862">
        <f t="shared" si="102"/>
        <v>0</v>
      </c>
      <c r="Y356" s="862">
        <f t="shared" si="103"/>
        <v>33901721000</v>
      </c>
    </row>
    <row r="357" spans="1:25" ht="24.95" customHeight="1">
      <c r="A357" s="870"/>
      <c r="B357" s="865" t="s">
        <v>1054</v>
      </c>
      <c r="C357" s="876"/>
      <c r="D357" s="870" t="s">
        <v>825</v>
      </c>
      <c r="E357" s="863">
        <v>7005987</v>
      </c>
      <c r="F357" s="862">
        <v>85000000000</v>
      </c>
      <c r="G357" s="862">
        <v>17226671000</v>
      </c>
      <c r="H357" s="862"/>
      <c r="I357" s="862"/>
      <c r="J357" s="862"/>
      <c r="K357" s="862"/>
      <c r="L357" s="862"/>
      <c r="M357" s="862"/>
      <c r="N357" s="862"/>
      <c r="O357" s="862"/>
      <c r="P357" s="862"/>
      <c r="Q357" s="862">
        <v>4000000000</v>
      </c>
      <c r="R357" s="862">
        <v>4000000000</v>
      </c>
      <c r="S357" s="862">
        <v>3850000000</v>
      </c>
      <c r="T357" s="862">
        <f t="shared" si="113"/>
        <v>150000000</v>
      </c>
      <c r="U357" s="862"/>
      <c r="V357" s="862"/>
      <c r="W357" s="862">
        <f t="shared" si="101"/>
        <v>3850000000</v>
      </c>
      <c r="X357" s="862">
        <f t="shared" si="102"/>
        <v>150000000</v>
      </c>
      <c r="Y357" s="862">
        <f t="shared" si="103"/>
        <v>21226671000</v>
      </c>
    </row>
    <row r="358" spans="1:25" ht="24.95" customHeight="1">
      <c r="A358" s="870"/>
      <c r="B358" s="933" t="s">
        <v>1055</v>
      </c>
      <c r="C358" s="876"/>
      <c r="D358" s="870"/>
      <c r="E358" s="863"/>
      <c r="F358" s="862">
        <v>0</v>
      </c>
      <c r="G358" s="862"/>
      <c r="H358" s="862"/>
      <c r="I358" s="862"/>
      <c r="J358" s="862"/>
      <c r="K358" s="862"/>
      <c r="L358" s="862"/>
      <c r="M358" s="862"/>
      <c r="N358" s="862"/>
      <c r="O358" s="862"/>
      <c r="P358" s="862"/>
      <c r="Q358" s="862"/>
      <c r="R358" s="862"/>
      <c r="S358" s="862"/>
      <c r="T358" s="862"/>
      <c r="U358" s="862"/>
      <c r="V358" s="862"/>
      <c r="W358" s="862">
        <f t="shared" si="101"/>
        <v>0</v>
      </c>
      <c r="X358" s="862">
        <f t="shared" si="102"/>
        <v>0</v>
      </c>
      <c r="Y358" s="862">
        <f t="shared" si="103"/>
        <v>0</v>
      </c>
    </row>
    <row r="359" spans="1:25" ht="24.95" customHeight="1">
      <c r="A359" s="870"/>
      <c r="B359" s="865" t="s">
        <v>1056</v>
      </c>
      <c r="C359" s="876"/>
      <c r="D359" s="870" t="s">
        <v>825</v>
      </c>
      <c r="E359" s="863">
        <v>7007595</v>
      </c>
      <c r="F359" s="862">
        <v>52014000000</v>
      </c>
      <c r="G359" s="862">
        <v>24921015000</v>
      </c>
      <c r="H359" s="862"/>
      <c r="I359" s="862"/>
      <c r="J359" s="862"/>
      <c r="K359" s="862">
        <v>399000000</v>
      </c>
      <c r="L359" s="862">
        <v>399000000</v>
      </c>
      <c r="M359" s="862">
        <v>399000000</v>
      </c>
      <c r="N359" s="862">
        <v>0</v>
      </c>
      <c r="O359" s="862"/>
      <c r="P359" s="862"/>
      <c r="Q359" s="862">
        <v>2000000000</v>
      </c>
      <c r="R359" s="862">
        <v>2000000000</v>
      </c>
      <c r="S359" s="862">
        <v>2000000000</v>
      </c>
      <c r="T359" s="862">
        <f t="shared" si="113"/>
        <v>0</v>
      </c>
      <c r="U359" s="862"/>
      <c r="V359" s="862"/>
      <c r="W359" s="862">
        <f t="shared" si="101"/>
        <v>2399000000</v>
      </c>
      <c r="X359" s="862">
        <f t="shared" si="102"/>
        <v>0</v>
      </c>
      <c r="Y359" s="862">
        <f t="shared" si="103"/>
        <v>27320015000</v>
      </c>
    </row>
    <row r="360" spans="1:25" ht="15" customHeight="1">
      <c r="A360" s="870"/>
      <c r="B360" s="865" t="s">
        <v>638</v>
      </c>
      <c r="C360" s="876"/>
      <c r="D360" s="870" t="s">
        <v>825</v>
      </c>
      <c r="E360" s="863">
        <v>7070714</v>
      </c>
      <c r="F360" s="862">
        <v>114560000000</v>
      </c>
      <c r="G360" s="862">
        <v>78991966000</v>
      </c>
      <c r="H360" s="862"/>
      <c r="I360" s="862"/>
      <c r="J360" s="862"/>
      <c r="K360" s="862"/>
      <c r="L360" s="862"/>
      <c r="M360" s="862"/>
      <c r="N360" s="862"/>
      <c r="O360" s="862"/>
      <c r="P360" s="862"/>
      <c r="Q360" s="862">
        <v>2000000000</v>
      </c>
      <c r="R360" s="862">
        <v>2000000000</v>
      </c>
      <c r="S360" s="862">
        <v>2000000000</v>
      </c>
      <c r="T360" s="862">
        <f t="shared" si="113"/>
        <v>0</v>
      </c>
      <c r="U360" s="862"/>
      <c r="V360" s="862"/>
      <c r="W360" s="862">
        <f t="shared" si="101"/>
        <v>2000000000</v>
      </c>
      <c r="X360" s="862">
        <f t="shared" si="102"/>
        <v>0</v>
      </c>
      <c r="Y360" s="862">
        <f t="shared" si="103"/>
        <v>80991966000</v>
      </c>
    </row>
    <row r="361" spans="1:25" ht="24.95" customHeight="1">
      <c r="A361" s="870"/>
      <c r="B361" s="865" t="s">
        <v>1057</v>
      </c>
      <c r="C361" s="876" t="s">
        <v>1058</v>
      </c>
      <c r="D361" s="870" t="s">
        <v>825</v>
      </c>
      <c r="E361" s="863">
        <v>7567506</v>
      </c>
      <c r="F361" s="862">
        <v>71899000000</v>
      </c>
      <c r="G361" s="862">
        <v>18664923948</v>
      </c>
      <c r="H361" s="862"/>
      <c r="I361" s="862"/>
      <c r="J361" s="862"/>
      <c r="K361" s="862">
        <v>6335000000</v>
      </c>
      <c r="L361" s="862">
        <f>SUM(M361:N361)</f>
        <v>6335000000</v>
      </c>
      <c r="M361" s="862">
        <v>354423000</v>
      </c>
      <c r="N361" s="862">
        <v>5980577000</v>
      </c>
      <c r="O361" s="862"/>
      <c r="P361" s="862"/>
      <c r="Q361" s="862"/>
      <c r="R361" s="862"/>
      <c r="S361" s="862"/>
      <c r="T361" s="862"/>
      <c r="U361" s="862"/>
      <c r="V361" s="862"/>
      <c r="W361" s="862">
        <f t="shared" si="101"/>
        <v>354423000</v>
      </c>
      <c r="X361" s="862">
        <f t="shared" si="102"/>
        <v>5980577000</v>
      </c>
      <c r="Y361" s="862">
        <f t="shared" si="103"/>
        <v>24999923948</v>
      </c>
    </row>
    <row r="362" spans="1:25" s="514" customFormat="1" ht="42" customHeight="1">
      <c r="A362" s="888"/>
      <c r="B362" s="933" t="s">
        <v>1059</v>
      </c>
      <c r="C362" s="890"/>
      <c r="D362" s="870"/>
      <c r="E362" s="929"/>
      <c r="F362" s="862">
        <v>0</v>
      </c>
      <c r="G362" s="862"/>
      <c r="H362" s="891"/>
      <c r="I362" s="891"/>
      <c r="J362" s="891"/>
      <c r="K362" s="891"/>
      <c r="L362" s="891"/>
      <c r="M362" s="891"/>
      <c r="N362" s="891"/>
      <c r="O362" s="891"/>
      <c r="P362" s="891"/>
      <c r="Q362" s="891"/>
      <c r="R362" s="891"/>
      <c r="S362" s="891"/>
      <c r="T362" s="891"/>
      <c r="U362" s="891"/>
      <c r="V362" s="891"/>
      <c r="W362" s="862">
        <f t="shared" si="101"/>
        <v>0</v>
      </c>
      <c r="X362" s="862">
        <f t="shared" si="102"/>
        <v>0</v>
      </c>
      <c r="Y362" s="862">
        <f t="shared" si="103"/>
        <v>0</v>
      </c>
    </row>
    <row r="363" spans="1:25" ht="24.95" customHeight="1">
      <c r="A363" s="870"/>
      <c r="B363" s="865" t="s">
        <v>1060</v>
      </c>
      <c r="C363" s="876"/>
      <c r="D363" s="870" t="s">
        <v>825</v>
      </c>
      <c r="E363" s="863">
        <v>7006162</v>
      </c>
      <c r="F363" s="862">
        <v>71963000000</v>
      </c>
      <c r="G363" s="862">
        <v>25734606000</v>
      </c>
      <c r="H363" s="862"/>
      <c r="I363" s="862"/>
      <c r="J363" s="862"/>
      <c r="K363" s="862"/>
      <c r="L363" s="862"/>
      <c r="M363" s="862"/>
      <c r="N363" s="862"/>
      <c r="O363" s="862"/>
      <c r="P363" s="862"/>
      <c r="Q363" s="862">
        <v>3470000000</v>
      </c>
      <c r="R363" s="862">
        <v>3470000000</v>
      </c>
      <c r="S363" s="862">
        <v>932459000</v>
      </c>
      <c r="T363" s="862">
        <f t="shared" si="113"/>
        <v>2537541000</v>
      </c>
      <c r="U363" s="862"/>
      <c r="V363" s="862"/>
      <c r="W363" s="862">
        <f t="shared" si="101"/>
        <v>932459000</v>
      </c>
      <c r="X363" s="862">
        <f t="shared" si="102"/>
        <v>2537541000</v>
      </c>
      <c r="Y363" s="862">
        <f t="shared" si="103"/>
        <v>29204606000</v>
      </c>
    </row>
    <row r="364" spans="1:25" ht="24.95" customHeight="1">
      <c r="A364" s="870"/>
      <c r="B364" s="865" t="s">
        <v>639</v>
      </c>
      <c r="C364" s="876"/>
      <c r="D364" s="870" t="s">
        <v>825</v>
      </c>
      <c r="E364" s="863">
        <v>7189107</v>
      </c>
      <c r="F364" s="862">
        <v>922000000000</v>
      </c>
      <c r="G364" s="862">
        <v>350608321000</v>
      </c>
      <c r="H364" s="862"/>
      <c r="I364" s="862"/>
      <c r="J364" s="862"/>
      <c r="K364" s="862"/>
      <c r="L364" s="862"/>
      <c r="M364" s="862"/>
      <c r="N364" s="862"/>
      <c r="O364" s="862"/>
      <c r="P364" s="862"/>
      <c r="Q364" s="862">
        <v>25000000000</v>
      </c>
      <c r="R364" s="862">
        <v>25000000000</v>
      </c>
      <c r="S364" s="862">
        <v>25000000000</v>
      </c>
      <c r="T364" s="862">
        <f t="shared" si="113"/>
        <v>0</v>
      </c>
      <c r="U364" s="862"/>
      <c r="V364" s="862"/>
      <c r="W364" s="862">
        <f t="shared" si="101"/>
        <v>25000000000</v>
      </c>
      <c r="X364" s="862">
        <f t="shared" si="102"/>
        <v>0</v>
      </c>
      <c r="Y364" s="862">
        <f t="shared" si="103"/>
        <v>375608321000</v>
      </c>
    </row>
    <row r="365" spans="1:25" ht="24.95" customHeight="1">
      <c r="A365" s="870"/>
      <c r="B365" s="865" t="s">
        <v>1061</v>
      </c>
      <c r="C365" s="876"/>
      <c r="D365" s="870" t="s">
        <v>825</v>
      </c>
      <c r="E365" s="863">
        <v>7578614</v>
      </c>
      <c r="F365" s="862">
        <v>63060000000</v>
      </c>
      <c r="G365" s="862">
        <v>10000000000</v>
      </c>
      <c r="H365" s="862"/>
      <c r="I365" s="862"/>
      <c r="J365" s="862"/>
      <c r="K365" s="862"/>
      <c r="L365" s="862"/>
      <c r="M365" s="862"/>
      <c r="N365" s="862"/>
      <c r="O365" s="862"/>
      <c r="P365" s="862"/>
      <c r="Q365" s="862">
        <v>3000000000</v>
      </c>
      <c r="R365" s="862">
        <v>3000000000</v>
      </c>
      <c r="S365" s="862">
        <v>3000000000</v>
      </c>
      <c r="T365" s="862">
        <f t="shared" si="113"/>
        <v>0</v>
      </c>
      <c r="U365" s="862"/>
      <c r="V365" s="862"/>
      <c r="W365" s="862">
        <f t="shared" si="101"/>
        <v>3000000000</v>
      </c>
      <c r="X365" s="862">
        <f t="shared" si="102"/>
        <v>0</v>
      </c>
      <c r="Y365" s="862">
        <f t="shared" si="103"/>
        <v>13000000000</v>
      </c>
    </row>
    <row r="366" spans="1:25" ht="24.95" customHeight="1">
      <c r="A366" s="870"/>
      <c r="B366" s="933" t="s">
        <v>1062</v>
      </c>
      <c r="C366" s="876"/>
      <c r="D366" s="870"/>
      <c r="E366" s="863"/>
      <c r="F366" s="862">
        <v>0</v>
      </c>
      <c r="G366" s="862"/>
      <c r="H366" s="862"/>
      <c r="I366" s="862"/>
      <c r="J366" s="862"/>
      <c r="K366" s="862"/>
      <c r="L366" s="862"/>
      <c r="M366" s="862"/>
      <c r="N366" s="862"/>
      <c r="O366" s="862"/>
      <c r="P366" s="862"/>
      <c r="Q366" s="862"/>
      <c r="R366" s="862"/>
      <c r="S366" s="862"/>
      <c r="T366" s="862"/>
      <c r="U366" s="862"/>
      <c r="V366" s="862"/>
      <c r="W366" s="862">
        <f t="shared" si="101"/>
        <v>0</v>
      </c>
      <c r="X366" s="862">
        <f t="shared" si="102"/>
        <v>0</v>
      </c>
      <c r="Y366" s="862">
        <f t="shared" si="103"/>
        <v>0</v>
      </c>
    </row>
    <row r="367" spans="1:25" ht="24.95" customHeight="1">
      <c r="A367" s="870"/>
      <c r="B367" s="865" t="s">
        <v>1063</v>
      </c>
      <c r="C367" s="876"/>
      <c r="D367" s="870" t="s">
        <v>825</v>
      </c>
      <c r="E367" s="863">
        <v>7457160</v>
      </c>
      <c r="F367" s="862">
        <v>386956000000</v>
      </c>
      <c r="G367" s="862">
        <v>180399999422</v>
      </c>
      <c r="H367" s="862"/>
      <c r="I367" s="862"/>
      <c r="J367" s="862"/>
      <c r="K367" s="862"/>
      <c r="L367" s="862"/>
      <c r="M367" s="862"/>
      <c r="N367" s="862"/>
      <c r="O367" s="862"/>
      <c r="P367" s="862"/>
      <c r="Q367" s="862">
        <v>30000000000</v>
      </c>
      <c r="R367" s="862">
        <v>30000000000</v>
      </c>
      <c r="S367" s="862">
        <v>29662692368</v>
      </c>
      <c r="T367" s="862">
        <f t="shared" si="113"/>
        <v>337307632</v>
      </c>
      <c r="U367" s="862"/>
      <c r="V367" s="862"/>
      <c r="W367" s="862">
        <f t="shared" si="101"/>
        <v>29662692368</v>
      </c>
      <c r="X367" s="862">
        <f t="shared" si="102"/>
        <v>337307632</v>
      </c>
      <c r="Y367" s="862">
        <f t="shared" si="103"/>
        <v>210399999422</v>
      </c>
    </row>
    <row r="368" spans="1:25" ht="24.95" customHeight="1">
      <c r="A368" s="870"/>
      <c r="B368" s="865" t="s">
        <v>1064</v>
      </c>
      <c r="C368" s="876"/>
      <c r="D368" s="870" t="s">
        <v>825</v>
      </c>
      <c r="E368" s="863">
        <v>7554504</v>
      </c>
      <c r="F368" s="862">
        <v>165000000000</v>
      </c>
      <c r="G368" s="862">
        <v>30000000000</v>
      </c>
      <c r="H368" s="862"/>
      <c r="I368" s="862"/>
      <c r="J368" s="862"/>
      <c r="K368" s="862"/>
      <c r="L368" s="862"/>
      <c r="M368" s="862"/>
      <c r="N368" s="862"/>
      <c r="O368" s="862"/>
      <c r="P368" s="862"/>
      <c r="Q368" s="862">
        <v>8000000000</v>
      </c>
      <c r="R368" s="862">
        <v>8000000000</v>
      </c>
      <c r="S368" s="862">
        <v>6783363312</v>
      </c>
      <c r="T368" s="862">
        <f t="shared" si="113"/>
        <v>1216636688</v>
      </c>
      <c r="U368" s="862"/>
      <c r="V368" s="862"/>
      <c r="W368" s="862">
        <f t="shared" si="101"/>
        <v>6783363312</v>
      </c>
      <c r="X368" s="862">
        <f t="shared" si="102"/>
        <v>1216636688</v>
      </c>
      <c r="Y368" s="862">
        <f t="shared" si="103"/>
        <v>38000000000</v>
      </c>
    </row>
    <row r="369" spans="1:25" ht="24.95" customHeight="1">
      <c r="A369" s="870"/>
      <c r="B369" s="933" t="s">
        <v>500</v>
      </c>
      <c r="C369" s="876"/>
      <c r="D369" s="870"/>
      <c r="E369" s="863"/>
      <c r="F369" s="862">
        <v>0</v>
      </c>
      <c r="G369" s="862"/>
      <c r="H369" s="862"/>
      <c r="I369" s="862"/>
      <c r="J369" s="862"/>
      <c r="K369" s="862"/>
      <c r="L369" s="862"/>
      <c r="M369" s="862"/>
      <c r="N369" s="862"/>
      <c r="O369" s="862"/>
      <c r="P369" s="862"/>
      <c r="Q369" s="862"/>
      <c r="R369" s="862"/>
      <c r="S369" s="862"/>
      <c r="T369" s="862"/>
      <c r="U369" s="862"/>
      <c r="V369" s="862"/>
      <c r="W369" s="862">
        <f t="shared" si="101"/>
        <v>0</v>
      </c>
      <c r="X369" s="862">
        <f t="shared" si="102"/>
        <v>0</v>
      </c>
      <c r="Y369" s="862">
        <f t="shared" si="103"/>
        <v>0</v>
      </c>
    </row>
    <row r="370" spans="1:25" ht="24.95" customHeight="1">
      <c r="A370" s="870"/>
      <c r="B370" s="865" t="s">
        <v>1065</v>
      </c>
      <c r="C370" s="876"/>
      <c r="D370" s="870" t="s">
        <v>825</v>
      </c>
      <c r="E370" s="863">
        <v>7560286</v>
      </c>
      <c r="F370" s="862">
        <v>119888000000</v>
      </c>
      <c r="G370" s="862">
        <v>7370000000</v>
      </c>
      <c r="H370" s="862"/>
      <c r="I370" s="862"/>
      <c r="J370" s="862"/>
      <c r="K370" s="862"/>
      <c r="L370" s="862"/>
      <c r="M370" s="862"/>
      <c r="N370" s="862"/>
      <c r="O370" s="862"/>
      <c r="P370" s="862"/>
      <c r="Q370" s="862">
        <v>5000000000</v>
      </c>
      <c r="R370" s="862">
        <v>5000000000</v>
      </c>
      <c r="S370" s="862">
        <v>3225823000</v>
      </c>
      <c r="T370" s="862">
        <f t="shared" si="113"/>
        <v>1774177000</v>
      </c>
      <c r="U370" s="862"/>
      <c r="V370" s="862"/>
      <c r="W370" s="862">
        <f t="shared" si="101"/>
        <v>3225823000</v>
      </c>
      <c r="X370" s="862">
        <f t="shared" si="102"/>
        <v>1774177000</v>
      </c>
      <c r="Y370" s="862">
        <f t="shared" si="103"/>
        <v>12370000000</v>
      </c>
    </row>
    <row r="371" spans="1:25" ht="24.95" customHeight="1">
      <c r="A371" s="870"/>
      <c r="B371" s="865" t="s">
        <v>1066</v>
      </c>
      <c r="C371" s="876"/>
      <c r="D371" s="870" t="s">
        <v>825</v>
      </c>
      <c r="E371" s="863">
        <v>7498224</v>
      </c>
      <c r="F371" s="862">
        <v>115525000000</v>
      </c>
      <c r="G371" s="862">
        <v>13927000000</v>
      </c>
      <c r="H371" s="862"/>
      <c r="I371" s="862"/>
      <c r="J371" s="862"/>
      <c r="K371" s="862"/>
      <c r="L371" s="862"/>
      <c r="M371" s="862"/>
      <c r="N371" s="862"/>
      <c r="O371" s="862"/>
      <c r="P371" s="862"/>
      <c r="Q371" s="862">
        <v>13000000000</v>
      </c>
      <c r="R371" s="862">
        <v>13000000000</v>
      </c>
      <c r="S371" s="862">
        <v>4733373696</v>
      </c>
      <c r="T371" s="862">
        <f t="shared" si="113"/>
        <v>8266626304</v>
      </c>
      <c r="U371" s="862"/>
      <c r="V371" s="862"/>
      <c r="W371" s="862">
        <f t="shared" si="101"/>
        <v>4733373696</v>
      </c>
      <c r="X371" s="862">
        <f t="shared" si="102"/>
        <v>8266626304</v>
      </c>
      <c r="Y371" s="862">
        <f t="shared" si="103"/>
        <v>26927000000</v>
      </c>
    </row>
    <row r="372" spans="1:25" ht="24.95" customHeight="1">
      <c r="A372" s="870"/>
      <c r="B372" s="933" t="s">
        <v>1067</v>
      </c>
      <c r="C372" s="876"/>
      <c r="D372" s="870"/>
      <c r="E372" s="929"/>
      <c r="F372" s="891">
        <f>SUM(F374:F376)</f>
        <v>1647117000000</v>
      </c>
      <c r="G372" s="891">
        <f t="shared" ref="G372:Y372" si="114">SUM(G374:G376)</f>
        <v>210218055029</v>
      </c>
      <c r="H372" s="891">
        <f t="shared" si="114"/>
        <v>0</v>
      </c>
      <c r="I372" s="891">
        <f t="shared" si="114"/>
        <v>0</v>
      </c>
      <c r="J372" s="891">
        <f t="shared" si="114"/>
        <v>0</v>
      </c>
      <c r="K372" s="891">
        <f t="shared" si="114"/>
        <v>0</v>
      </c>
      <c r="L372" s="891">
        <f t="shared" si="114"/>
        <v>0</v>
      </c>
      <c r="M372" s="891">
        <f t="shared" si="114"/>
        <v>0</v>
      </c>
      <c r="N372" s="891">
        <f t="shared" si="114"/>
        <v>0</v>
      </c>
      <c r="O372" s="891">
        <f t="shared" si="114"/>
        <v>0</v>
      </c>
      <c r="P372" s="891">
        <f t="shared" si="114"/>
        <v>0</v>
      </c>
      <c r="Q372" s="891">
        <f t="shared" si="114"/>
        <v>60000000000</v>
      </c>
      <c r="R372" s="891">
        <f t="shared" si="114"/>
        <v>60000000000</v>
      </c>
      <c r="S372" s="891">
        <f t="shared" si="114"/>
        <v>56760998416</v>
      </c>
      <c r="T372" s="891">
        <f t="shared" si="114"/>
        <v>3239001584</v>
      </c>
      <c r="U372" s="891">
        <f t="shared" si="114"/>
        <v>0</v>
      </c>
      <c r="V372" s="891">
        <f t="shared" si="114"/>
        <v>0</v>
      </c>
      <c r="W372" s="891">
        <f t="shared" si="114"/>
        <v>56760998416</v>
      </c>
      <c r="X372" s="891">
        <f t="shared" si="114"/>
        <v>3239001584</v>
      </c>
      <c r="Y372" s="891">
        <f t="shared" si="114"/>
        <v>270218055029</v>
      </c>
    </row>
    <row r="373" spans="1:25" ht="24.95" customHeight="1">
      <c r="A373" s="870"/>
      <c r="B373" s="933" t="s">
        <v>1068</v>
      </c>
      <c r="C373" s="876"/>
      <c r="D373" s="870"/>
      <c r="E373" s="929"/>
      <c r="F373" s="862">
        <v>0</v>
      </c>
      <c r="G373" s="862"/>
      <c r="H373" s="862"/>
      <c r="I373" s="862"/>
      <c r="J373" s="862"/>
      <c r="K373" s="862"/>
      <c r="L373" s="862"/>
      <c r="M373" s="862"/>
      <c r="N373" s="862"/>
      <c r="O373" s="862"/>
      <c r="P373" s="862"/>
      <c r="Q373" s="891"/>
      <c r="R373" s="891"/>
      <c r="S373" s="891"/>
      <c r="T373" s="891"/>
      <c r="U373" s="862"/>
      <c r="V373" s="862"/>
      <c r="W373" s="862">
        <f t="shared" si="101"/>
        <v>0</v>
      </c>
      <c r="X373" s="862">
        <f t="shared" si="102"/>
        <v>0</v>
      </c>
      <c r="Y373" s="862">
        <f t="shared" si="103"/>
        <v>0</v>
      </c>
    </row>
    <row r="374" spans="1:25" ht="32.1" customHeight="1">
      <c r="A374" s="870"/>
      <c r="B374" s="865" t="s">
        <v>1069</v>
      </c>
      <c r="C374" s="876"/>
      <c r="D374" s="870" t="s">
        <v>825</v>
      </c>
      <c r="E374" s="863">
        <v>7249003</v>
      </c>
      <c r="F374" s="862">
        <v>1531592000000</v>
      </c>
      <c r="G374" s="862">
        <v>196291055029</v>
      </c>
      <c r="H374" s="862"/>
      <c r="I374" s="862"/>
      <c r="J374" s="862"/>
      <c r="K374" s="862"/>
      <c r="L374" s="862"/>
      <c r="M374" s="862"/>
      <c r="N374" s="862"/>
      <c r="O374" s="862"/>
      <c r="P374" s="862"/>
      <c r="Q374" s="862">
        <v>50000000000</v>
      </c>
      <c r="R374" s="862">
        <v>50000000000</v>
      </c>
      <c r="S374" s="862">
        <v>46760998416</v>
      </c>
      <c r="T374" s="862">
        <f>R374-S374</f>
        <v>3239001584</v>
      </c>
      <c r="U374" s="862"/>
      <c r="V374" s="862"/>
      <c r="W374" s="862">
        <f t="shared" si="101"/>
        <v>46760998416</v>
      </c>
      <c r="X374" s="862">
        <f t="shared" si="102"/>
        <v>3239001584</v>
      </c>
      <c r="Y374" s="862">
        <f t="shared" si="103"/>
        <v>246291055029</v>
      </c>
    </row>
    <row r="375" spans="1:25" ht="24.95" customHeight="1">
      <c r="A375" s="870"/>
      <c r="B375" s="933" t="s">
        <v>500</v>
      </c>
      <c r="C375" s="876"/>
      <c r="D375" s="870"/>
      <c r="E375" s="863"/>
      <c r="F375" s="862">
        <v>0</v>
      </c>
      <c r="G375" s="862"/>
      <c r="H375" s="862"/>
      <c r="I375" s="862"/>
      <c r="J375" s="862"/>
      <c r="K375" s="862"/>
      <c r="L375" s="862"/>
      <c r="M375" s="862"/>
      <c r="N375" s="862"/>
      <c r="O375" s="862"/>
      <c r="P375" s="862"/>
      <c r="Q375" s="862"/>
      <c r="R375" s="862"/>
      <c r="S375" s="862"/>
      <c r="T375" s="862"/>
      <c r="U375" s="862"/>
      <c r="V375" s="862"/>
      <c r="W375" s="862">
        <f t="shared" si="101"/>
        <v>0</v>
      </c>
      <c r="X375" s="862">
        <f t="shared" si="102"/>
        <v>0</v>
      </c>
      <c r="Y375" s="862">
        <f t="shared" si="103"/>
        <v>0</v>
      </c>
    </row>
    <row r="376" spans="1:25" ht="24.95" customHeight="1">
      <c r="A376" s="870"/>
      <c r="B376" s="865" t="s">
        <v>1066</v>
      </c>
      <c r="C376" s="876"/>
      <c r="D376" s="870" t="s">
        <v>825</v>
      </c>
      <c r="E376" s="863">
        <v>7498224</v>
      </c>
      <c r="F376" s="862">
        <v>115525000000</v>
      </c>
      <c r="G376" s="862">
        <v>13927000000</v>
      </c>
      <c r="H376" s="862"/>
      <c r="I376" s="862"/>
      <c r="J376" s="862"/>
      <c r="K376" s="862"/>
      <c r="L376" s="862"/>
      <c r="M376" s="862"/>
      <c r="N376" s="862"/>
      <c r="O376" s="862"/>
      <c r="P376" s="862"/>
      <c r="Q376" s="862">
        <v>10000000000</v>
      </c>
      <c r="R376" s="862">
        <v>10000000000</v>
      </c>
      <c r="S376" s="862">
        <v>10000000000</v>
      </c>
      <c r="T376" s="862">
        <f t="shared" ref="T376" si="115">R376-S376</f>
        <v>0</v>
      </c>
      <c r="U376" s="862"/>
      <c r="V376" s="862"/>
      <c r="W376" s="862">
        <f t="shared" ref="W376:W465" si="116">J376+M376+S376</f>
        <v>10000000000</v>
      </c>
      <c r="X376" s="862">
        <f t="shared" ref="X376:X465" si="117">H376-I376-J376+N376+T376</f>
        <v>0</v>
      </c>
      <c r="Y376" s="862">
        <f t="shared" ref="Y376:Y465" si="118">G376+L376+R376</f>
        <v>23927000000</v>
      </c>
    </row>
    <row r="377" spans="1:25" ht="32.1" customHeight="1">
      <c r="A377" s="870"/>
      <c r="B377" s="933" t="s">
        <v>1070</v>
      </c>
      <c r="C377" s="876"/>
      <c r="D377" s="870"/>
      <c r="E377" s="929"/>
      <c r="F377" s="891">
        <f>SUM(F379)</f>
        <v>416700000000</v>
      </c>
      <c r="G377" s="891">
        <f t="shared" ref="G377:Y377" si="119">SUM(G379)</f>
        <v>36337296560</v>
      </c>
      <c r="H377" s="891">
        <f t="shared" si="119"/>
        <v>0</v>
      </c>
      <c r="I377" s="891">
        <f t="shared" si="119"/>
        <v>0</v>
      </c>
      <c r="J377" s="891">
        <f t="shared" si="119"/>
        <v>0</v>
      </c>
      <c r="K377" s="891">
        <f t="shared" si="119"/>
        <v>13662000000</v>
      </c>
      <c r="L377" s="891">
        <f t="shared" si="119"/>
        <v>10211082000</v>
      </c>
      <c r="M377" s="891">
        <f t="shared" si="119"/>
        <v>8068582000</v>
      </c>
      <c r="N377" s="891">
        <f t="shared" si="119"/>
        <v>2142500000</v>
      </c>
      <c r="O377" s="891">
        <f t="shared" si="119"/>
        <v>0</v>
      </c>
      <c r="P377" s="891">
        <f t="shared" si="119"/>
        <v>0</v>
      </c>
      <c r="Q377" s="891">
        <f t="shared" si="119"/>
        <v>3000000000</v>
      </c>
      <c r="R377" s="891">
        <f t="shared" si="119"/>
        <v>3000000000</v>
      </c>
      <c r="S377" s="891">
        <f t="shared" si="119"/>
        <v>3000000000</v>
      </c>
      <c r="T377" s="891">
        <f t="shared" si="119"/>
        <v>0</v>
      </c>
      <c r="U377" s="891">
        <f t="shared" si="119"/>
        <v>0</v>
      </c>
      <c r="V377" s="891">
        <f t="shared" si="119"/>
        <v>0</v>
      </c>
      <c r="W377" s="891">
        <f t="shared" si="119"/>
        <v>11068582000</v>
      </c>
      <c r="X377" s="891">
        <f t="shared" si="119"/>
        <v>2142500000</v>
      </c>
      <c r="Y377" s="891">
        <f t="shared" si="119"/>
        <v>49548378560</v>
      </c>
    </row>
    <row r="378" spans="1:25" s="514" customFormat="1" ht="15" customHeight="1">
      <c r="A378" s="888"/>
      <c r="B378" s="933" t="s">
        <v>1071</v>
      </c>
      <c r="C378" s="890"/>
      <c r="D378" s="870"/>
      <c r="E378" s="929"/>
      <c r="F378" s="862">
        <v>0</v>
      </c>
      <c r="G378" s="862"/>
      <c r="H378" s="891"/>
      <c r="I378" s="891"/>
      <c r="J378" s="891"/>
      <c r="K378" s="891"/>
      <c r="L378" s="891"/>
      <c r="M378" s="891"/>
      <c r="N378" s="891"/>
      <c r="O378" s="891"/>
      <c r="P378" s="891"/>
      <c r="Q378" s="891"/>
      <c r="R378" s="891"/>
      <c r="S378" s="891"/>
      <c r="T378" s="891"/>
      <c r="U378" s="891"/>
      <c r="V378" s="891"/>
      <c r="W378" s="862">
        <f t="shared" si="116"/>
        <v>0</v>
      </c>
      <c r="X378" s="862">
        <f t="shared" si="117"/>
        <v>0</v>
      </c>
      <c r="Y378" s="862">
        <f t="shared" si="118"/>
        <v>0</v>
      </c>
    </row>
    <row r="379" spans="1:25" ht="24.95" customHeight="1">
      <c r="A379" s="870"/>
      <c r="B379" s="865" t="s">
        <v>1561</v>
      </c>
      <c r="C379" s="876"/>
      <c r="D379" s="870" t="s">
        <v>825</v>
      </c>
      <c r="E379" s="863">
        <v>7027429</v>
      </c>
      <c r="F379" s="862">
        <v>416700000000</v>
      </c>
      <c r="G379" s="862">
        <v>36337296560</v>
      </c>
      <c r="H379" s="862"/>
      <c r="I379" s="862"/>
      <c r="J379" s="862"/>
      <c r="K379" s="862">
        <v>13662000000</v>
      </c>
      <c r="L379" s="862">
        <v>10211082000</v>
      </c>
      <c r="M379" s="862">
        <v>8068582000</v>
      </c>
      <c r="N379" s="862">
        <v>2142500000</v>
      </c>
      <c r="O379" s="862"/>
      <c r="P379" s="862"/>
      <c r="Q379" s="862">
        <v>3000000000</v>
      </c>
      <c r="R379" s="862">
        <v>3000000000</v>
      </c>
      <c r="S379" s="862">
        <v>3000000000</v>
      </c>
      <c r="T379" s="862">
        <f>R379-S379</f>
        <v>0</v>
      </c>
      <c r="U379" s="862"/>
      <c r="V379" s="862"/>
      <c r="W379" s="862">
        <f t="shared" si="116"/>
        <v>11068582000</v>
      </c>
      <c r="X379" s="862">
        <f t="shared" si="117"/>
        <v>2142500000</v>
      </c>
      <c r="Y379" s="862">
        <f t="shared" si="118"/>
        <v>49548378560</v>
      </c>
    </row>
    <row r="380" spans="1:25" s="514" customFormat="1" ht="24.95" customHeight="1">
      <c r="A380" s="888"/>
      <c r="B380" s="933" t="s">
        <v>1072</v>
      </c>
      <c r="C380" s="890"/>
      <c r="D380" s="870"/>
      <c r="E380" s="929"/>
      <c r="F380" s="891">
        <f>SUM(F382)</f>
        <v>26293000000</v>
      </c>
      <c r="G380" s="891">
        <f t="shared" ref="G380:Y380" si="120">SUM(G382)</f>
        <v>7511290000</v>
      </c>
      <c r="H380" s="891">
        <f t="shared" si="120"/>
        <v>0</v>
      </c>
      <c r="I380" s="891">
        <f t="shared" si="120"/>
        <v>0</v>
      </c>
      <c r="J380" s="891">
        <f t="shared" si="120"/>
        <v>0</v>
      </c>
      <c r="K380" s="891">
        <f t="shared" si="120"/>
        <v>6290000000</v>
      </c>
      <c r="L380" s="891">
        <f t="shared" si="120"/>
        <v>6208634000</v>
      </c>
      <c r="M380" s="891">
        <f t="shared" si="120"/>
        <v>6008634000</v>
      </c>
      <c r="N380" s="891">
        <f t="shared" si="120"/>
        <v>200000000</v>
      </c>
      <c r="O380" s="891">
        <f t="shared" si="120"/>
        <v>0</v>
      </c>
      <c r="P380" s="891">
        <f t="shared" si="120"/>
        <v>0</v>
      </c>
      <c r="Q380" s="891">
        <f t="shared" si="120"/>
        <v>0</v>
      </c>
      <c r="R380" s="891">
        <f t="shared" si="120"/>
        <v>0</v>
      </c>
      <c r="S380" s="891">
        <f t="shared" si="120"/>
        <v>0</v>
      </c>
      <c r="T380" s="891">
        <f t="shared" si="120"/>
        <v>0</v>
      </c>
      <c r="U380" s="891">
        <f t="shared" si="120"/>
        <v>0</v>
      </c>
      <c r="V380" s="891">
        <f t="shared" si="120"/>
        <v>0</v>
      </c>
      <c r="W380" s="891">
        <f t="shared" si="120"/>
        <v>6008634000</v>
      </c>
      <c r="X380" s="891">
        <f t="shared" si="120"/>
        <v>200000000</v>
      </c>
      <c r="Y380" s="891">
        <f t="shared" si="120"/>
        <v>13719924000</v>
      </c>
    </row>
    <row r="381" spans="1:25" s="514" customFormat="1" ht="24.95" customHeight="1">
      <c r="A381" s="888"/>
      <c r="B381" s="933" t="s">
        <v>1073</v>
      </c>
      <c r="C381" s="890"/>
      <c r="D381" s="870"/>
      <c r="E381" s="929"/>
      <c r="F381" s="862">
        <v>0</v>
      </c>
      <c r="G381" s="862"/>
      <c r="H381" s="891"/>
      <c r="I381" s="891"/>
      <c r="J381" s="891"/>
      <c r="K381" s="891"/>
      <c r="L381" s="891"/>
      <c r="M381" s="891"/>
      <c r="N381" s="891"/>
      <c r="O381" s="891"/>
      <c r="P381" s="891"/>
      <c r="Q381" s="891"/>
      <c r="R381" s="891"/>
      <c r="S381" s="891"/>
      <c r="T381" s="891"/>
      <c r="U381" s="891"/>
      <c r="V381" s="891"/>
      <c r="W381" s="862">
        <f t="shared" si="116"/>
        <v>0</v>
      </c>
      <c r="X381" s="862">
        <f t="shared" si="117"/>
        <v>0</v>
      </c>
      <c r="Y381" s="862">
        <f t="shared" si="118"/>
        <v>0</v>
      </c>
    </row>
    <row r="382" spans="1:25" ht="15" customHeight="1">
      <c r="A382" s="870"/>
      <c r="B382" s="865" t="s">
        <v>563</v>
      </c>
      <c r="C382" s="876"/>
      <c r="D382" s="870" t="s">
        <v>825</v>
      </c>
      <c r="E382" s="863">
        <v>7498318</v>
      </c>
      <c r="F382" s="862">
        <v>26293000000</v>
      </c>
      <c r="G382" s="862">
        <v>7511290000</v>
      </c>
      <c r="H382" s="862"/>
      <c r="I382" s="862"/>
      <c r="J382" s="862"/>
      <c r="K382" s="862">
        <v>6290000000</v>
      </c>
      <c r="L382" s="862">
        <v>6208634000</v>
      </c>
      <c r="M382" s="862">
        <v>6008634000</v>
      </c>
      <c r="N382" s="862">
        <v>200000000</v>
      </c>
      <c r="O382" s="862"/>
      <c r="P382" s="862"/>
      <c r="Q382" s="862"/>
      <c r="R382" s="862"/>
      <c r="S382" s="862"/>
      <c r="T382" s="862"/>
      <c r="U382" s="862"/>
      <c r="V382" s="862"/>
      <c r="W382" s="862">
        <f t="shared" si="116"/>
        <v>6008634000</v>
      </c>
      <c r="X382" s="862">
        <f t="shared" si="117"/>
        <v>200000000</v>
      </c>
      <c r="Y382" s="862">
        <f t="shared" si="118"/>
        <v>13719924000</v>
      </c>
    </row>
    <row r="383" spans="1:25" hidden="1">
      <c r="A383" s="870">
        <v>-2</v>
      </c>
      <c r="B383" s="887" t="s">
        <v>1074</v>
      </c>
      <c r="C383" s="876"/>
      <c r="D383" s="870"/>
      <c r="E383" s="870"/>
      <c r="F383" s="862">
        <v>0</v>
      </c>
      <c r="G383" s="862"/>
      <c r="H383" s="862"/>
      <c r="I383" s="862"/>
      <c r="J383" s="862"/>
      <c r="K383" s="862"/>
      <c r="L383" s="862"/>
      <c r="M383" s="862"/>
      <c r="N383" s="862"/>
      <c r="O383" s="862"/>
      <c r="P383" s="862"/>
      <c r="Q383" s="862"/>
      <c r="R383" s="862">
        <f t="shared" si="107"/>
        <v>0</v>
      </c>
      <c r="S383" s="862"/>
      <c r="T383" s="862"/>
      <c r="U383" s="862"/>
      <c r="V383" s="862"/>
      <c r="W383" s="862">
        <f t="shared" si="116"/>
        <v>0</v>
      </c>
      <c r="X383" s="862">
        <f t="shared" si="117"/>
        <v>0</v>
      </c>
      <c r="Y383" s="862">
        <f t="shared" si="118"/>
        <v>0</v>
      </c>
    </row>
    <row r="384" spans="1:25" hidden="1">
      <c r="A384" s="870"/>
      <c r="B384" s="887" t="s">
        <v>1046</v>
      </c>
      <c r="C384" s="876"/>
      <c r="D384" s="870"/>
      <c r="E384" s="870"/>
      <c r="F384" s="862">
        <v>0</v>
      </c>
      <c r="G384" s="862"/>
      <c r="H384" s="862"/>
      <c r="I384" s="862"/>
      <c r="J384" s="862"/>
      <c r="K384" s="862"/>
      <c r="L384" s="862"/>
      <c r="M384" s="862"/>
      <c r="N384" s="862"/>
      <c r="O384" s="862"/>
      <c r="P384" s="862"/>
      <c r="Q384" s="862"/>
      <c r="R384" s="862">
        <f t="shared" si="107"/>
        <v>0</v>
      </c>
      <c r="S384" s="862"/>
      <c r="T384" s="862"/>
      <c r="U384" s="862"/>
      <c r="V384" s="862"/>
      <c r="W384" s="862">
        <f t="shared" si="116"/>
        <v>0</v>
      </c>
      <c r="X384" s="862">
        <f t="shared" si="117"/>
        <v>0</v>
      </c>
      <c r="Y384" s="862">
        <f t="shared" si="118"/>
        <v>0</v>
      </c>
    </row>
    <row r="385" spans="1:25" ht="15" customHeight="1">
      <c r="A385" s="871">
        <v>3</v>
      </c>
      <c r="B385" s="883" t="s">
        <v>811</v>
      </c>
      <c r="C385" s="875"/>
      <c r="D385" s="870"/>
      <c r="E385" s="871"/>
      <c r="F385" s="884">
        <f>F386+F395</f>
        <v>2959067000000</v>
      </c>
      <c r="G385" s="884">
        <f t="shared" ref="G385:Y385" si="121">G386+G395</f>
        <v>1241906294842</v>
      </c>
      <c r="H385" s="884">
        <f t="shared" si="121"/>
        <v>0</v>
      </c>
      <c r="I385" s="884">
        <f t="shared" si="121"/>
        <v>0</v>
      </c>
      <c r="J385" s="884">
        <f t="shared" si="121"/>
        <v>0</v>
      </c>
      <c r="K385" s="884">
        <f t="shared" si="121"/>
        <v>2057000000</v>
      </c>
      <c r="L385" s="884">
        <f t="shared" si="121"/>
        <v>1015351000</v>
      </c>
      <c r="M385" s="884">
        <f t="shared" si="121"/>
        <v>1015351000</v>
      </c>
      <c r="N385" s="884">
        <f t="shared" si="121"/>
        <v>0</v>
      </c>
      <c r="O385" s="884">
        <f t="shared" si="121"/>
        <v>0</v>
      </c>
      <c r="P385" s="884">
        <f t="shared" si="121"/>
        <v>0</v>
      </c>
      <c r="Q385" s="884">
        <f t="shared" si="121"/>
        <v>378724000000</v>
      </c>
      <c r="R385" s="884">
        <f t="shared" si="121"/>
        <v>305642130855</v>
      </c>
      <c r="S385" s="884">
        <f t="shared" si="121"/>
        <v>300415130855</v>
      </c>
      <c r="T385" s="884">
        <f t="shared" si="121"/>
        <v>5227000000</v>
      </c>
      <c r="U385" s="884">
        <f t="shared" si="121"/>
        <v>0</v>
      </c>
      <c r="V385" s="884">
        <f t="shared" si="121"/>
        <v>0</v>
      </c>
      <c r="W385" s="884">
        <f t="shared" si="121"/>
        <v>301430481855</v>
      </c>
      <c r="X385" s="884">
        <f t="shared" si="121"/>
        <v>5227000000</v>
      </c>
      <c r="Y385" s="884">
        <f t="shared" si="121"/>
        <v>1548563776697</v>
      </c>
    </row>
    <row r="386" spans="1:25" ht="24.95" customHeight="1">
      <c r="A386" s="871" t="s">
        <v>797</v>
      </c>
      <c r="B386" s="883" t="s">
        <v>1075</v>
      </c>
      <c r="C386" s="875"/>
      <c r="D386" s="870"/>
      <c r="E386" s="871"/>
      <c r="F386" s="884">
        <f>F388+F392</f>
        <v>1059000000000</v>
      </c>
      <c r="G386" s="884">
        <f t="shared" ref="G386:Y386" si="122">G388+G392</f>
        <v>408606565500</v>
      </c>
      <c r="H386" s="884">
        <f t="shared" si="122"/>
        <v>0</v>
      </c>
      <c r="I386" s="884">
        <f t="shared" si="122"/>
        <v>0</v>
      </c>
      <c r="J386" s="884">
        <f t="shared" si="122"/>
        <v>0</v>
      </c>
      <c r="K386" s="884">
        <f t="shared" si="122"/>
        <v>2057000000</v>
      </c>
      <c r="L386" s="884">
        <f t="shared" si="122"/>
        <v>1015351000</v>
      </c>
      <c r="M386" s="884">
        <f t="shared" si="122"/>
        <v>1015351000</v>
      </c>
      <c r="N386" s="884">
        <f t="shared" si="122"/>
        <v>0</v>
      </c>
      <c r="O386" s="884">
        <f t="shared" si="122"/>
        <v>0</v>
      </c>
      <c r="P386" s="884">
        <f t="shared" si="122"/>
        <v>0</v>
      </c>
      <c r="Q386" s="884">
        <f t="shared" si="122"/>
        <v>61400000000</v>
      </c>
      <c r="R386" s="884">
        <f t="shared" si="122"/>
        <v>43478212000</v>
      </c>
      <c r="S386" s="884">
        <f t="shared" si="122"/>
        <v>38251212000</v>
      </c>
      <c r="T386" s="884">
        <f t="shared" si="122"/>
        <v>5227000000</v>
      </c>
      <c r="U386" s="884">
        <f t="shared" si="122"/>
        <v>0</v>
      </c>
      <c r="V386" s="884">
        <f t="shared" si="122"/>
        <v>0</v>
      </c>
      <c r="W386" s="884">
        <f>W388+W392</f>
        <v>39266563000</v>
      </c>
      <c r="X386" s="884">
        <f t="shared" si="122"/>
        <v>5227000000</v>
      </c>
      <c r="Y386" s="884">
        <f t="shared" si="122"/>
        <v>453100128500</v>
      </c>
    </row>
    <row r="387" spans="1:25" s="512" customFormat="1" ht="24.95" customHeight="1">
      <c r="A387" s="888"/>
      <c r="B387" s="889" t="s">
        <v>1076</v>
      </c>
      <c r="C387" s="890"/>
      <c r="D387" s="870"/>
      <c r="E387" s="888"/>
      <c r="F387" s="862">
        <v>0</v>
      </c>
      <c r="G387" s="862"/>
      <c r="H387" s="891"/>
      <c r="I387" s="891"/>
      <c r="J387" s="891"/>
      <c r="K387" s="891"/>
      <c r="L387" s="891"/>
      <c r="M387" s="891"/>
      <c r="N387" s="891"/>
      <c r="O387" s="891"/>
      <c r="P387" s="891"/>
      <c r="Q387" s="891"/>
      <c r="R387" s="886"/>
      <c r="S387" s="891"/>
      <c r="T387" s="891"/>
      <c r="U387" s="891"/>
      <c r="V387" s="891"/>
      <c r="W387" s="862">
        <f t="shared" si="116"/>
        <v>0</v>
      </c>
      <c r="X387" s="862">
        <f t="shared" si="117"/>
        <v>0</v>
      </c>
      <c r="Y387" s="862">
        <f t="shared" si="118"/>
        <v>0</v>
      </c>
    </row>
    <row r="388" spans="1:25" ht="32.1" customHeight="1">
      <c r="A388" s="870"/>
      <c r="B388" s="933" t="s">
        <v>1077</v>
      </c>
      <c r="C388" s="876"/>
      <c r="D388" s="870"/>
      <c r="E388" s="929"/>
      <c r="F388" s="891">
        <f>SUM(F389:F391)</f>
        <v>1041000000000</v>
      </c>
      <c r="G388" s="891">
        <f t="shared" ref="G388:Y388" si="123">SUM(G389:G391)</f>
        <v>396607244500</v>
      </c>
      <c r="H388" s="891">
        <f t="shared" si="123"/>
        <v>0</v>
      </c>
      <c r="I388" s="891">
        <f t="shared" si="123"/>
        <v>0</v>
      </c>
      <c r="J388" s="891">
        <f t="shared" si="123"/>
        <v>0</v>
      </c>
      <c r="K388" s="891">
        <f t="shared" si="123"/>
        <v>0</v>
      </c>
      <c r="L388" s="891">
        <f t="shared" si="123"/>
        <v>0</v>
      </c>
      <c r="M388" s="891">
        <f t="shared" si="123"/>
        <v>0</v>
      </c>
      <c r="N388" s="891">
        <f t="shared" si="123"/>
        <v>0</v>
      </c>
      <c r="O388" s="891">
        <f t="shared" si="123"/>
        <v>0</v>
      </c>
      <c r="P388" s="891">
        <f t="shared" si="123"/>
        <v>0</v>
      </c>
      <c r="Q388" s="891">
        <f t="shared" si="123"/>
        <v>61400000000</v>
      </c>
      <c r="R388" s="891">
        <f t="shared" si="123"/>
        <v>43478212000</v>
      </c>
      <c r="S388" s="891">
        <f t="shared" si="123"/>
        <v>38251212000</v>
      </c>
      <c r="T388" s="891">
        <f t="shared" si="123"/>
        <v>5227000000</v>
      </c>
      <c r="U388" s="891">
        <f t="shared" si="123"/>
        <v>0</v>
      </c>
      <c r="V388" s="891">
        <f t="shared" si="123"/>
        <v>0</v>
      </c>
      <c r="W388" s="891">
        <f>SUM(W389:W391)</f>
        <v>38251212000</v>
      </c>
      <c r="X388" s="891">
        <f t="shared" si="123"/>
        <v>5227000000</v>
      </c>
      <c r="Y388" s="891">
        <f t="shared" si="123"/>
        <v>440085456500</v>
      </c>
    </row>
    <row r="389" spans="1:25" ht="24.95" customHeight="1">
      <c r="A389" s="870"/>
      <c r="B389" s="865" t="s">
        <v>1563</v>
      </c>
      <c r="C389" s="876"/>
      <c r="D389" s="870" t="s">
        <v>825</v>
      </c>
      <c r="E389" s="863">
        <v>7536253</v>
      </c>
      <c r="F389" s="862">
        <v>83000000000</v>
      </c>
      <c r="G389" s="862">
        <v>29999620500</v>
      </c>
      <c r="H389" s="862"/>
      <c r="I389" s="862"/>
      <c r="J389" s="862"/>
      <c r="K389" s="862"/>
      <c r="L389" s="862"/>
      <c r="M389" s="862"/>
      <c r="N389" s="862"/>
      <c r="O389" s="862"/>
      <c r="P389" s="862"/>
      <c r="Q389" s="862">
        <v>30000000000</v>
      </c>
      <c r="R389" s="862">
        <v>12078212000</v>
      </c>
      <c r="S389" s="862">
        <f>10851212000-4000000000</f>
        <v>6851212000</v>
      </c>
      <c r="T389" s="862">
        <f>R389-S389</f>
        <v>5227000000</v>
      </c>
      <c r="U389" s="862"/>
      <c r="V389" s="862"/>
      <c r="W389" s="862">
        <f t="shared" si="116"/>
        <v>6851212000</v>
      </c>
      <c r="X389" s="862">
        <f t="shared" si="117"/>
        <v>5227000000</v>
      </c>
      <c r="Y389" s="862">
        <f t="shared" si="118"/>
        <v>42077832500</v>
      </c>
    </row>
    <row r="390" spans="1:25" ht="24.95" customHeight="1">
      <c r="A390" s="870"/>
      <c r="B390" s="865" t="s">
        <v>639</v>
      </c>
      <c r="C390" s="876"/>
      <c r="D390" s="870" t="s">
        <v>825</v>
      </c>
      <c r="E390" s="863">
        <v>7189107</v>
      </c>
      <c r="F390" s="862">
        <v>922000000000</v>
      </c>
      <c r="G390" s="862">
        <v>350608321000</v>
      </c>
      <c r="H390" s="862"/>
      <c r="I390" s="862"/>
      <c r="J390" s="862"/>
      <c r="K390" s="862"/>
      <c r="L390" s="862"/>
      <c r="M390" s="862"/>
      <c r="N390" s="862"/>
      <c r="O390" s="862"/>
      <c r="P390" s="862"/>
      <c r="Q390" s="862">
        <v>30000000000</v>
      </c>
      <c r="R390" s="862">
        <v>30000000000</v>
      </c>
      <c r="S390" s="862">
        <v>30000000000</v>
      </c>
      <c r="T390" s="862">
        <f t="shared" ref="T390" si="124">R390-S390</f>
        <v>0</v>
      </c>
      <c r="U390" s="862"/>
      <c r="V390" s="862"/>
      <c r="W390" s="862">
        <f t="shared" si="116"/>
        <v>30000000000</v>
      </c>
      <c r="X390" s="862">
        <f t="shared" si="117"/>
        <v>0</v>
      </c>
      <c r="Y390" s="862">
        <f t="shared" si="118"/>
        <v>380608321000</v>
      </c>
    </row>
    <row r="391" spans="1:25" ht="24.95" customHeight="1">
      <c r="A391" s="870"/>
      <c r="B391" s="865" t="s">
        <v>1562</v>
      </c>
      <c r="C391" s="876"/>
      <c r="D391" s="870" t="s">
        <v>825</v>
      </c>
      <c r="E391" s="863">
        <v>7536619</v>
      </c>
      <c r="F391" s="862">
        <v>36000000000</v>
      </c>
      <c r="G391" s="862">
        <v>15999303000</v>
      </c>
      <c r="H391" s="862"/>
      <c r="I391" s="862"/>
      <c r="J391" s="862"/>
      <c r="K391" s="862"/>
      <c r="L391" s="862"/>
      <c r="M391" s="862"/>
      <c r="N391" s="862"/>
      <c r="O391" s="862"/>
      <c r="P391" s="862"/>
      <c r="Q391" s="862">
        <v>1400000000</v>
      </c>
      <c r="R391" s="862">
        <v>1400000000</v>
      </c>
      <c r="S391" s="862">
        <v>1400000000</v>
      </c>
      <c r="T391" s="862">
        <f>R391-S391</f>
        <v>0</v>
      </c>
      <c r="U391" s="862"/>
      <c r="V391" s="862"/>
      <c r="W391" s="862">
        <f t="shared" si="116"/>
        <v>1400000000</v>
      </c>
      <c r="X391" s="862">
        <f t="shared" si="117"/>
        <v>0</v>
      </c>
      <c r="Y391" s="862">
        <f t="shared" si="118"/>
        <v>17399303000</v>
      </c>
    </row>
    <row r="392" spans="1:25" ht="32.1" customHeight="1">
      <c r="A392" s="870"/>
      <c r="B392" s="933" t="s">
        <v>1078</v>
      </c>
      <c r="C392" s="876"/>
      <c r="D392" s="870"/>
      <c r="E392" s="863"/>
      <c r="F392" s="891">
        <f>F393</f>
        <v>18000000000</v>
      </c>
      <c r="G392" s="891">
        <f t="shared" ref="G392:Y392" si="125">G393</f>
        <v>11999321000</v>
      </c>
      <c r="H392" s="891">
        <f t="shared" si="125"/>
        <v>0</v>
      </c>
      <c r="I392" s="891">
        <f t="shared" si="125"/>
        <v>0</v>
      </c>
      <c r="J392" s="891">
        <f t="shared" si="125"/>
        <v>0</v>
      </c>
      <c r="K392" s="891">
        <f t="shared" si="125"/>
        <v>2057000000</v>
      </c>
      <c r="L392" s="891">
        <f t="shared" si="125"/>
        <v>1015351000</v>
      </c>
      <c r="M392" s="891">
        <f t="shared" si="125"/>
        <v>1015351000</v>
      </c>
      <c r="N392" s="891">
        <f t="shared" si="125"/>
        <v>0</v>
      </c>
      <c r="O392" s="891">
        <f t="shared" si="125"/>
        <v>0</v>
      </c>
      <c r="P392" s="891">
        <f t="shared" si="125"/>
        <v>0</v>
      </c>
      <c r="Q392" s="891">
        <f t="shared" si="125"/>
        <v>0</v>
      </c>
      <c r="R392" s="891">
        <f t="shared" si="125"/>
        <v>0</v>
      </c>
      <c r="S392" s="891">
        <f t="shared" si="125"/>
        <v>0</v>
      </c>
      <c r="T392" s="891">
        <f t="shared" si="125"/>
        <v>0</v>
      </c>
      <c r="U392" s="891">
        <f t="shared" si="125"/>
        <v>0</v>
      </c>
      <c r="V392" s="891">
        <f t="shared" si="125"/>
        <v>0</v>
      </c>
      <c r="W392" s="891">
        <f t="shared" si="125"/>
        <v>1015351000</v>
      </c>
      <c r="X392" s="891">
        <f t="shared" si="125"/>
        <v>0</v>
      </c>
      <c r="Y392" s="891">
        <f t="shared" si="125"/>
        <v>13014672000</v>
      </c>
    </row>
    <row r="393" spans="1:25" ht="24.95" customHeight="1">
      <c r="A393" s="870"/>
      <c r="B393" s="865" t="s">
        <v>1564</v>
      </c>
      <c r="C393" s="876"/>
      <c r="D393" s="870" t="s">
        <v>825</v>
      </c>
      <c r="E393" s="863">
        <v>7536615</v>
      </c>
      <c r="F393" s="862">
        <v>18000000000</v>
      </c>
      <c r="G393" s="862">
        <v>11999321000</v>
      </c>
      <c r="H393" s="862"/>
      <c r="I393" s="862"/>
      <c r="J393" s="862"/>
      <c r="K393" s="862">
        <v>2057000000</v>
      </c>
      <c r="L393" s="862">
        <v>1015351000</v>
      </c>
      <c r="M393" s="862">
        <v>1015351000</v>
      </c>
      <c r="N393" s="862">
        <v>0</v>
      </c>
      <c r="O393" s="862"/>
      <c r="P393" s="862"/>
      <c r="Q393" s="862"/>
      <c r="R393" s="862"/>
      <c r="S393" s="862"/>
      <c r="T393" s="862"/>
      <c r="U393" s="862"/>
      <c r="V393" s="862"/>
      <c r="W393" s="862">
        <f t="shared" si="116"/>
        <v>1015351000</v>
      </c>
      <c r="X393" s="862">
        <f t="shared" si="117"/>
        <v>0</v>
      </c>
      <c r="Y393" s="862">
        <f t="shared" si="118"/>
        <v>13014672000</v>
      </c>
    </row>
    <row r="394" spans="1:25" ht="24.95" customHeight="1">
      <c r="A394" s="871" t="s">
        <v>799</v>
      </c>
      <c r="B394" s="883" t="s">
        <v>814</v>
      </c>
      <c r="C394" s="876"/>
      <c r="D394" s="870"/>
      <c r="E394" s="863"/>
      <c r="F394" s="884">
        <f>F395+F410</f>
        <v>1900067000000</v>
      </c>
      <c r="G394" s="884">
        <f t="shared" ref="G394:Y394" si="126">G395+G410</f>
        <v>833299729342</v>
      </c>
      <c r="H394" s="884">
        <f t="shared" si="126"/>
        <v>0</v>
      </c>
      <c r="I394" s="884">
        <f t="shared" si="126"/>
        <v>0</v>
      </c>
      <c r="J394" s="884">
        <f t="shared" si="126"/>
        <v>0</v>
      </c>
      <c r="K394" s="884">
        <f t="shared" si="126"/>
        <v>0</v>
      </c>
      <c r="L394" s="884">
        <f t="shared" si="126"/>
        <v>0</v>
      </c>
      <c r="M394" s="884">
        <f t="shared" si="126"/>
        <v>0</v>
      </c>
      <c r="N394" s="884">
        <f t="shared" si="126"/>
        <v>0</v>
      </c>
      <c r="O394" s="884">
        <f t="shared" si="126"/>
        <v>0</v>
      </c>
      <c r="P394" s="884">
        <f t="shared" si="126"/>
        <v>0</v>
      </c>
      <c r="Q394" s="884">
        <f t="shared" si="126"/>
        <v>444829000000</v>
      </c>
      <c r="R394" s="884">
        <f t="shared" si="126"/>
        <v>363666756823</v>
      </c>
      <c r="S394" s="884">
        <f t="shared" si="126"/>
        <v>363666756823</v>
      </c>
      <c r="T394" s="884">
        <f t="shared" si="126"/>
        <v>0</v>
      </c>
      <c r="U394" s="884">
        <f t="shared" si="126"/>
        <v>0</v>
      </c>
      <c r="V394" s="884">
        <f t="shared" si="126"/>
        <v>26002162032</v>
      </c>
      <c r="W394" s="884">
        <f>W395+W410</f>
        <v>366880756823</v>
      </c>
      <c r="X394" s="884">
        <f t="shared" si="126"/>
        <v>0</v>
      </c>
      <c r="Y394" s="884">
        <f t="shared" si="126"/>
        <v>1196966486165</v>
      </c>
    </row>
    <row r="395" spans="1:25" ht="32.1" customHeight="1">
      <c r="A395" s="871"/>
      <c r="B395" s="889" t="s">
        <v>1079</v>
      </c>
      <c r="C395" s="875"/>
      <c r="D395" s="870"/>
      <c r="E395" s="871"/>
      <c r="F395" s="884">
        <f>F396+F398+F400+F408</f>
        <v>1900067000000</v>
      </c>
      <c r="G395" s="884">
        <f t="shared" ref="G395:Y395" si="127">G396+G398+G400+G408</f>
        <v>833299729342</v>
      </c>
      <c r="H395" s="884">
        <f t="shared" si="127"/>
        <v>0</v>
      </c>
      <c r="I395" s="884">
        <f t="shared" si="127"/>
        <v>0</v>
      </c>
      <c r="J395" s="884">
        <f t="shared" si="127"/>
        <v>0</v>
      </c>
      <c r="K395" s="884">
        <f t="shared" si="127"/>
        <v>0</v>
      </c>
      <c r="L395" s="884">
        <f t="shared" si="127"/>
        <v>0</v>
      </c>
      <c r="M395" s="884">
        <f t="shared" si="127"/>
        <v>0</v>
      </c>
      <c r="N395" s="884">
        <f t="shared" si="127"/>
        <v>0</v>
      </c>
      <c r="O395" s="884">
        <f t="shared" si="127"/>
        <v>0</v>
      </c>
      <c r="P395" s="884">
        <f t="shared" si="127"/>
        <v>0</v>
      </c>
      <c r="Q395" s="884">
        <f t="shared" si="127"/>
        <v>317324000000</v>
      </c>
      <c r="R395" s="884">
        <f t="shared" si="127"/>
        <v>262163918855</v>
      </c>
      <c r="S395" s="884">
        <f t="shared" si="127"/>
        <v>262163918855</v>
      </c>
      <c r="T395" s="884">
        <f t="shared" si="127"/>
        <v>0</v>
      </c>
      <c r="U395" s="884">
        <f t="shared" si="127"/>
        <v>0</v>
      </c>
      <c r="V395" s="884">
        <f t="shared" si="127"/>
        <v>0</v>
      </c>
      <c r="W395" s="884">
        <f>W396+W398+W400+W408</f>
        <v>262163918855</v>
      </c>
      <c r="X395" s="884">
        <f t="shared" si="127"/>
        <v>0</v>
      </c>
      <c r="Y395" s="884">
        <f t="shared" si="127"/>
        <v>1095463648197</v>
      </c>
    </row>
    <row r="396" spans="1:25" s="514" customFormat="1" ht="24.95" customHeight="1">
      <c r="A396" s="939" t="s">
        <v>108</v>
      </c>
      <c r="B396" s="940" t="s">
        <v>1080</v>
      </c>
      <c r="C396" s="941"/>
      <c r="D396" s="888"/>
      <c r="E396" s="888"/>
      <c r="F396" s="891">
        <f>F397</f>
        <v>1204455000000</v>
      </c>
      <c r="G396" s="891">
        <f t="shared" ref="G396:P396" si="128">G397</f>
        <v>756498000000</v>
      </c>
      <c r="H396" s="891">
        <f t="shared" si="128"/>
        <v>0</v>
      </c>
      <c r="I396" s="891">
        <f t="shared" si="128"/>
        <v>0</v>
      </c>
      <c r="J396" s="891">
        <f t="shared" si="128"/>
        <v>0</v>
      </c>
      <c r="K396" s="891">
        <f t="shared" si="128"/>
        <v>0</v>
      </c>
      <c r="L396" s="891">
        <f t="shared" si="128"/>
        <v>0</v>
      </c>
      <c r="M396" s="891">
        <f t="shared" si="128"/>
        <v>0</v>
      </c>
      <c r="N396" s="891">
        <f t="shared" si="128"/>
        <v>0</v>
      </c>
      <c r="O396" s="891">
        <f t="shared" si="128"/>
        <v>0</v>
      </c>
      <c r="P396" s="891">
        <f t="shared" si="128"/>
        <v>0</v>
      </c>
      <c r="Q396" s="942">
        <f>Q397</f>
        <v>224024000000</v>
      </c>
      <c r="R396" s="942">
        <f t="shared" ref="R396:Y396" si="129">R397</f>
        <v>224024000000</v>
      </c>
      <c r="S396" s="942">
        <f t="shared" si="129"/>
        <v>224024000000</v>
      </c>
      <c r="T396" s="942">
        <f t="shared" si="129"/>
        <v>0</v>
      </c>
      <c r="U396" s="942">
        <f t="shared" si="129"/>
        <v>0</v>
      </c>
      <c r="V396" s="942">
        <f t="shared" si="129"/>
        <v>0</v>
      </c>
      <c r="W396" s="942">
        <f t="shared" si="129"/>
        <v>224024000000</v>
      </c>
      <c r="X396" s="942">
        <f t="shared" si="129"/>
        <v>0</v>
      </c>
      <c r="Y396" s="942">
        <f t="shared" si="129"/>
        <v>980522000000</v>
      </c>
    </row>
    <row r="397" spans="1:25" ht="32.1" customHeight="1">
      <c r="A397" s="943" t="s">
        <v>103</v>
      </c>
      <c r="B397" s="944" t="s">
        <v>1081</v>
      </c>
      <c r="C397" s="945" t="s">
        <v>842</v>
      </c>
      <c r="D397" s="870" t="s">
        <v>825</v>
      </c>
      <c r="E397" s="870" t="s">
        <v>16</v>
      </c>
      <c r="F397" s="862">
        <v>1204455000000</v>
      </c>
      <c r="G397" s="862">
        <v>756498000000</v>
      </c>
      <c r="H397" s="862"/>
      <c r="I397" s="862"/>
      <c r="J397" s="862"/>
      <c r="K397" s="862"/>
      <c r="L397" s="862"/>
      <c r="M397" s="862"/>
      <c r="N397" s="862"/>
      <c r="O397" s="862"/>
      <c r="P397" s="862"/>
      <c r="Q397" s="946">
        <v>224024000000</v>
      </c>
      <c r="R397" s="862">
        <v>224024000000</v>
      </c>
      <c r="S397" s="862">
        <v>224024000000</v>
      </c>
      <c r="T397" s="862"/>
      <c r="U397" s="862"/>
      <c r="V397" s="862"/>
      <c r="W397" s="862">
        <f t="shared" si="116"/>
        <v>224024000000</v>
      </c>
      <c r="X397" s="862">
        <f t="shared" si="117"/>
        <v>0</v>
      </c>
      <c r="Y397" s="862">
        <f t="shared" si="118"/>
        <v>980522000000</v>
      </c>
    </row>
    <row r="398" spans="1:25" s="512" customFormat="1" ht="15" customHeight="1">
      <c r="A398" s="939" t="s">
        <v>112</v>
      </c>
      <c r="B398" s="940" t="s">
        <v>1082</v>
      </c>
      <c r="C398" s="947"/>
      <c r="D398" s="870"/>
      <c r="E398" s="879"/>
      <c r="F398" s="891">
        <f>F399</f>
        <v>550715000000</v>
      </c>
      <c r="G398" s="891">
        <f t="shared" ref="G398:Y398" si="130">G399</f>
        <v>13994432798</v>
      </c>
      <c r="H398" s="891">
        <f t="shared" si="130"/>
        <v>0</v>
      </c>
      <c r="I398" s="891">
        <f t="shared" si="130"/>
        <v>0</v>
      </c>
      <c r="J398" s="891">
        <f t="shared" si="130"/>
        <v>0</v>
      </c>
      <c r="K398" s="891">
        <f t="shared" si="130"/>
        <v>0</v>
      </c>
      <c r="L398" s="891">
        <f t="shared" si="130"/>
        <v>0</v>
      </c>
      <c r="M398" s="891">
        <f t="shared" si="130"/>
        <v>0</v>
      </c>
      <c r="N398" s="891">
        <f t="shared" si="130"/>
        <v>0</v>
      </c>
      <c r="O398" s="891">
        <f t="shared" si="130"/>
        <v>0</v>
      </c>
      <c r="P398" s="891">
        <f t="shared" si="130"/>
        <v>0</v>
      </c>
      <c r="Q398" s="891">
        <f t="shared" si="130"/>
        <v>50000000000</v>
      </c>
      <c r="R398" s="891">
        <f t="shared" si="130"/>
        <v>0</v>
      </c>
      <c r="S398" s="891">
        <f t="shared" si="130"/>
        <v>0</v>
      </c>
      <c r="T398" s="891">
        <f t="shared" si="130"/>
        <v>0</v>
      </c>
      <c r="U398" s="891">
        <f t="shared" si="130"/>
        <v>0</v>
      </c>
      <c r="V398" s="891">
        <f t="shared" si="130"/>
        <v>0</v>
      </c>
      <c r="W398" s="891">
        <f t="shared" si="130"/>
        <v>0</v>
      </c>
      <c r="X398" s="891">
        <f t="shared" si="130"/>
        <v>0</v>
      </c>
      <c r="Y398" s="891">
        <f t="shared" si="130"/>
        <v>13994432798</v>
      </c>
    </row>
    <row r="399" spans="1:25" ht="32.1" customHeight="1">
      <c r="A399" s="943" t="s">
        <v>103</v>
      </c>
      <c r="B399" s="944" t="s">
        <v>1083</v>
      </c>
      <c r="C399" s="919" t="s">
        <v>840</v>
      </c>
      <c r="D399" s="870" t="s">
        <v>825</v>
      </c>
      <c r="E399" s="870" t="s">
        <v>526</v>
      </c>
      <c r="F399" s="862">
        <v>550715000000</v>
      </c>
      <c r="G399" s="862">
        <v>13994432798</v>
      </c>
      <c r="H399" s="862"/>
      <c r="I399" s="862"/>
      <c r="J399" s="862"/>
      <c r="K399" s="862"/>
      <c r="L399" s="862"/>
      <c r="M399" s="862"/>
      <c r="N399" s="862"/>
      <c r="O399" s="862"/>
      <c r="P399" s="862"/>
      <c r="Q399" s="946">
        <v>50000000000</v>
      </c>
      <c r="R399" s="862"/>
      <c r="S399" s="862"/>
      <c r="T399" s="862"/>
      <c r="U399" s="862"/>
      <c r="V399" s="862"/>
      <c r="W399" s="862">
        <f t="shared" si="116"/>
        <v>0</v>
      </c>
      <c r="X399" s="862">
        <f t="shared" si="117"/>
        <v>0</v>
      </c>
      <c r="Y399" s="862">
        <f t="shared" si="118"/>
        <v>13994432798</v>
      </c>
    </row>
    <row r="400" spans="1:25" s="512" customFormat="1" ht="15" customHeight="1">
      <c r="A400" s="939" t="s">
        <v>130</v>
      </c>
      <c r="B400" s="940" t="s">
        <v>1084</v>
      </c>
      <c r="C400" s="947"/>
      <c r="D400" s="870"/>
      <c r="E400" s="879"/>
      <c r="F400" s="891">
        <f>F401</f>
        <v>45301000000</v>
      </c>
      <c r="G400" s="891">
        <f t="shared" ref="G400:Y400" si="131">G401</f>
        <v>0</v>
      </c>
      <c r="H400" s="891">
        <f t="shared" si="131"/>
        <v>0</v>
      </c>
      <c r="I400" s="891">
        <f t="shared" si="131"/>
        <v>0</v>
      </c>
      <c r="J400" s="891">
        <f t="shared" si="131"/>
        <v>0</v>
      </c>
      <c r="K400" s="891">
        <f t="shared" si="131"/>
        <v>0</v>
      </c>
      <c r="L400" s="891">
        <f t="shared" si="131"/>
        <v>0</v>
      </c>
      <c r="M400" s="891">
        <f t="shared" si="131"/>
        <v>0</v>
      </c>
      <c r="N400" s="891">
        <f t="shared" si="131"/>
        <v>0</v>
      </c>
      <c r="O400" s="891">
        <f t="shared" si="131"/>
        <v>0</v>
      </c>
      <c r="P400" s="891">
        <f t="shared" si="131"/>
        <v>0</v>
      </c>
      <c r="Q400" s="891">
        <f t="shared" si="131"/>
        <v>35000000000</v>
      </c>
      <c r="R400" s="891">
        <f t="shared" si="131"/>
        <v>30100511500</v>
      </c>
      <c r="S400" s="891">
        <f t="shared" si="131"/>
        <v>30100511500</v>
      </c>
      <c r="T400" s="891">
        <f t="shared" si="131"/>
        <v>0</v>
      </c>
      <c r="U400" s="891">
        <f t="shared" si="131"/>
        <v>0</v>
      </c>
      <c r="V400" s="891">
        <f t="shared" si="131"/>
        <v>0</v>
      </c>
      <c r="W400" s="891">
        <f t="shared" si="131"/>
        <v>30100511500</v>
      </c>
      <c r="X400" s="891">
        <f t="shared" si="131"/>
        <v>0</v>
      </c>
      <c r="Y400" s="891">
        <f t="shared" si="131"/>
        <v>30100511500</v>
      </c>
    </row>
    <row r="401" spans="1:25" ht="24.95" customHeight="1">
      <c r="A401" s="943" t="s">
        <v>103</v>
      </c>
      <c r="B401" s="944" t="s">
        <v>1085</v>
      </c>
      <c r="C401" s="919"/>
      <c r="D401" s="870" t="s">
        <v>825</v>
      </c>
      <c r="E401" s="870"/>
      <c r="F401" s="862">
        <f>SUM(F402:F407)</f>
        <v>45301000000</v>
      </c>
      <c r="G401" s="862">
        <f t="shared" ref="G401:Y401" si="132">SUM(G402:G407)</f>
        <v>0</v>
      </c>
      <c r="H401" s="862">
        <f t="shared" si="132"/>
        <v>0</v>
      </c>
      <c r="I401" s="862">
        <f t="shared" si="132"/>
        <v>0</v>
      </c>
      <c r="J401" s="862">
        <f t="shared" si="132"/>
        <v>0</v>
      </c>
      <c r="K401" s="862">
        <f t="shared" si="132"/>
        <v>0</v>
      </c>
      <c r="L401" s="862">
        <f t="shared" si="132"/>
        <v>0</v>
      </c>
      <c r="M401" s="862">
        <f t="shared" si="132"/>
        <v>0</v>
      </c>
      <c r="N401" s="862">
        <f t="shared" si="132"/>
        <v>0</v>
      </c>
      <c r="O401" s="862">
        <f t="shared" si="132"/>
        <v>0</v>
      </c>
      <c r="P401" s="862">
        <f t="shared" si="132"/>
        <v>0</v>
      </c>
      <c r="Q401" s="862">
        <f t="shared" si="132"/>
        <v>35000000000</v>
      </c>
      <c r="R401" s="862">
        <f t="shared" si="132"/>
        <v>30100511500</v>
      </c>
      <c r="S401" s="862">
        <f t="shared" si="132"/>
        <v>30100511500</v>
      </c>
      <c r="T401" s="862">
        <f t="shared" si="132"/>
        <v>0</v>
      </c>
      <c r="U401" s="862">
        <f t="shared" si="132"/>
        <v>0</v>
      </c>
      <c r="V401" s="862">
        <f t="shared" si="132"/>
        <v>0</v>
      </c>
      <c r="W401" s="862">
        <f t="shared" si="132"/>
        <v>30100511500</v>
      </c>
      <c r="X401" s="862">
        <f t="shared" si="132"/>
        <v>0</v>
      </c>
      <c r="Y401" s="862">
        <f t="shared" si="132"/>
        <v>30100511500</v>
      </c>
    </row>
    <row r="402" spans="1:25" s="512" customFormat="1" ht="24.95" customHeight="1">
      <c r="A402" s="948"/>
      <c r="B402" s="949" t="s">
        <v>1565</v>
      </c>
      <c r="C402" s="931" t="s">
        <v>1086</v>
      </c>
      <c r="D402" s="870" t="s">
        <v>825</v>
      </c>
      <c r="E402" s="879">
        <v>7551385</v>
      </c>
      <c r="F402" s="862">
        <v>5194000000</v>
      </c>
      <c r="G402" s="862"/>
      <c r="H402" s="886"/>
      <c r="I402" s="886"/>
      <c r="J402" s="886"/>
      <c r="K402" s="886"/>
      <c r="L402" s="886"/>
      <c r="M402" s="886"/>
      <c r="N402" s="886"/>
      <c r="O402" s="886"/>
      <c r="P402" s="886"/>
      <c r="Q402" s="886">
        <v>3920000000</v>
      </c>
      <c r="R402" s="886">
        <f>SUM(S402:T402)</f>
        <v>3411892300</v>
      </c>
      <c r="S402" s="886">
        <v>3411892300</v>
      </c>
      <c r="T402" s="886"/>
      <c r="U402" s="886"/>
      <c r="V402" s="886"/>
      <c r="W402" s="862">
        <f t="shared" si="116"/>
        <v>3411892300</v>
      </c>
      <c r="X402" s="862">
        <f t="shared" si="117"/>
        <v>0</v>
      </c>
      <c r="Y402" s="862">
        <f t="shared" si="118"/>
        <v>3411892300</v>
      </c>
    </row>
    <row r="403" spans="1:25" s="512" customFormat="1" ht="24.95" customHeight="1">
      <c r="A403" s="948"/>
      <c r="B403" s="949" t="s">
        <v>1556</v>
      </c>
      <c r="C403" s="931" t="s">
        <v>1086</v>
      </c>
      <c r="D403" s="870" t="s">
        <v>825</v>
      </c>
      <c r="E403" s="879">
        <v>7551388</v>
      </c>
      <c r="F403" s="862">
        <v>8111000000</v>
      </c>
      <c r="G403" s="862"/>
      <c r="H403" s="886"/>
      <c r="I403" s="886"/>
      <c r="J403" s="886"/>
      <c r="K403" s="886"/>
      <c r="L403" s="886"/>
      <c r="M403" s="886"/>
      <c r="N403" s="886"/>
      <c r="O403" s="886"/>
      <c r="P403" s="886"/>
      <c r="Q403" s="886">
        <v>5950000000</v>
      </c>
      <c r="R403" s="886">
        <f t="shared" ref="R403:R407" si="133">SUM(S403:T403)</f>
        <v>5285936600</v>
      </c>
      <c r="S403" s="886">
        <v>5285936600</v>
      </c>
      <c r="T403" s="886"/>
      <c r="U403" s="886"/>
      <c r="V403" s="886"/>
      <c r="W403" s="862">
        <f t="shared" si="116"/>
        <v>5285936600</v>
      </c>
      <c r="X403" s="862">
        <f t="shared" si="117"/>
        <v>0</v>
      </c>
      <c r="Y403" s="862">
        <f t="shared" si="118"/>
        <v>5285936600</v>
      </c>
    </row>
    <row r="404" spans="1:25" s="512" customFormat="1" ht="24.95" customHeight="1">
      <c r="A404" s="948"/>
      <c r="B404" s="949" t="s">
        <v>1557</v>
      </c>
      <c r="C404" s="931" t="s">
        <v>1086</v>
      </c>
      <c r="D404" s="870" t="s">
        <v>825</v>
      </c>
      <c r="E404" s="879">
        <v>7551394</v>
      </c>
      <c r="F404" s="862">
        <v>5005000000</v>
      </c>
      <c r="G404" s="862"/>
      <c r="H404" s="886"/>
      <c r="I404" s="886"/>
      <c r="J404" s="886"/>
      <c r="K404" s="886"/>
      <c r="L404" s="886"/>
      <c r="M404" s="886"/>
      <c r="N404" s="886"/>
      <c r="O404" s="886"/>
      <c r="P404" s="886"/>
      <c r="Q404" s="886">
        <v>3900000000</v>
      </c>
      <c r="R404" s="886">
        <f t="shared" si="133"/>
        <v>3339446100</v>
      </c>
      <c r="S404" s="886">
        <v>3339446100</v>
      </c>
      <c r="T404" s="886"/>
      <c r="U404" s="886"/>
      <c r="V404" s="886"/>
      <c r="W404" s="862">
        <f t="shared" si="116"/>
        <v>3339446100</v>
      </c>
      <c r="X404" s="862">
        <f t="shared" si="117"/>
        <v>0</v>
      </c>
      <c r="Y404" s="862">
        <f t="shared" si="118"/>
        <v>3339446100</v>
      </c>
    </row>
    <row r="405" spans="1:25" s="512" customFormat="1" ht="24.95" customHeight="1">
      <c r="A405" s="948"/>
      <c r="B405" s="949" t="s">
        <v>1558</v>
      </c>
      <c r="C405" s="931" t="s">
        <v>1086</v>
      </c>
      <c r="D405" s="870" t="s">
        <v>825</v>
      </c>
      <c r="E405" s="879">
        <v>7551396</v>
      </c>
      <c r="F405" s="862">
        <v>5023000000</v>
      </c>
      <c r="G405" s="862"/>
      <c r="H405" s="886"/>
      <c r="I405" s="886"/>
      <c r="J405" s="886"/>
      <c r="K405" s="886"/>
      <c r="L405" s="886"/>
      <c r="M405" s="886"/>
      <c r="N405" s="886"/>
      <c r="O405" s="886"/>
      <c r="P405" s="886"/>
      <c r="Q405" s="886">
        <v>4130000000</v>
      </c>
      <c r="R405" s="886">
        <f t="shared" si="133"/>
        <v>3505552200</v>
      </c>
      <c r="S405" s="886">
        <v>3505552200</v>
      </c>
      <c r="T405" s="886"/>
      <c r="U405" s="886"/>
      <c r="V405" s="886"/>
      <c r="W405" s="862">
        <f t="shared" si="116"/>
        <v>3505552200</v>
      </c>
      <c r="X405" s="862">
        <f t="shared" si="117"/>
        <v>0</v>
      </c>
      <c r="Y405" s="862">
        <f t="shared" si="118"/>
        <v>3505552200</v>
      </c>
    </row>
    <row r="406" spans="1:25" s="512" customFormat="1" ht="24.95" customHeight="1">
      <c r="A406" s="948"/>
      <c r="B406" s="949" t="s">
        <v>1559</v>
      </c>
      <c r="C406" s="931" t="s">
        <v>1086</v>
      </c>
      <c r="D406" s="870" t="s">
        <v>825</v>
      </c>
      <c r="E406" s="879">
        <v>7551398</v>
      </c>
      <c r="F406" s="862">
        <v>14083000000</v>
      </c>
      <c r="G406" s="862"/>
      <c r="H406" s="886"/>
      <c r="I406" s="886"/>
      <c r="J406" s="886"/>
      <c r="K406" s="886"/>
      <c r="L406" s="886"/>
      <c r="M406" s="886"/>
      <c r="N406" s="886"/>
      <c r="O406" s="886"/>
      <c r="P406" s="886"/>
      <c r="Q406" s="886">
        <v>11130000000</v>
      </c>
      <c r="R406" s="886">
        <f t="shared" si="133"/>
        <v>9383674600</v>
      </c>
      <c r="S406" s="886">
        <v>9383674600</v>
      </c>
      <c r="T406" s="886"/>
      <c r="U406" s="886"/>
      <c r="V406" s="886"/>
      <c r="W406" s="862">
        <f t="shared" si="116"/>
        <v>9383674600</v>
      </c>
      <c r="X406" s="862">
        <f t="shared" si="117"/>
        <v>0</v>
      </c>
      <c r="Y406" s="862">
        <f t="shared" si="118"/>
        <v>9383674600</v>
      </c>
    </row>
    <row r="407" spans="1:25" s="512" customFormat="1" ht="24.95" customHeight="1">
      <c r="A407" s="948"/>
      <c r="B407" s="949" t="s">
        <v>1560</v>
      </c>
      <c r="C407" s="931" t="s">
        <v>1086</v>
      </c>
      <c r="D407" s="870" t="s">
        <v>825</v>
      </c>
      <c r="E407" s="879">
        <v>7551400</v>
      </c>
      <c r="F407" s="862">
        <v>7885000000</v>
      </c>
      <c r="G407" s="862"/>
      <c r="H407" s="886"/>
      <c r="I407" s="886"/>
      <c r="J407" s="886"/>
      <c r="K407" s="886"/>
      <c r="L407" s="886"/>
      <c r="M407" s="886"/>
      <c r="N407" s="886"/>
      <c r="O407" s="886"/>
      <c r="P407" s="886"/>
      <c r="Q407" s="886">
        <v>5970000000</v>
      </c>
      <c r="R407" s="886">
        <f t="shared" si="133"/>
        <v>5174009700</v>
      </c>
      <c r="S407" s="886">
        <v>5174009700</v>
      </c>
      <c r="T407" s="886"/>
      <c r="U407" s="886"/>
      <c r="V407" s="886"/>
      <c r="W407" s="862">
        <f t="shared" si="116"/>
        <v>5174009700</v>
      </c>
      <c r="X407" s="862">
        <f t="shared" si="117"/>
        <v>0</v>
      </c>
      <c r="Y407" s="862">
        <f t="shared" si="118"/>
        <v>5174009700</v>
      </c>
    </row>
    <row r="408" spans="1:25" s="512" customFormat="1" ht="15" customHeight="1">
      <c r="A408" s="939" t="s">
        <v>401</v>
      </c>
      <c r="B408" s="940" t="s">
        <v>1087</v>
      </c>
      <c r="C408" s="947"/>
      <c r="D408" s="870"/>
      <c r="E408" s="879"/>
      <c r="F408" s="891">
        <f>F409</f>
        <v>99596000000</v>
      </c>
      <c r="G408" s="891">
        <f t="shared" ref="G408:Y408" si="134">G409</f>
        <v>62807296544</v>
      </c>
      <c r="H408" s="891">
        <f t="shared" si="134"/>
        <v>0</v>
      </c>
      <c r="I408" s="891">
        <f t="shared" si="134"/>
        <v>0</v>
      </c>
      <c r="J408" s="891">
        <f t="shared" si="134"/>
        <v>0</v>
      </c>
      <c r="K408" s="891">
        <f t="shared" si="134"/>
        <v>0</v>
      </c>
      <c r="L408" s="891">
        <f t="shared" si="134"/>
        <v>0</v>
      </c>
      <c r="M408" s="891">
        <f t="shared" si="134"/>
        <v>0</v>
      </c>
      <c r="N408" s="891">
        <f t="shared" si="134"/>
        <v>0</v>
      </c>
      <c r="O408" s="891">
        <f t="shared" si="134"/>
        <v>0</v>
      </c>
      <c r="P408" s="891">
        <f t="shared" si="134"/>
        <v>0</v>
      </c>
      <c r="Q408" s="891">
        <f t="shared" si="134"/>
        <v>8300000000</v>
      </c>
      <c r="R408" s="891">
        <f t="shared" si="134"/>
        <v>8039407355</v>
      </c>
      <c r="S408" s="891">
        <f t="shared" si="134"/>
        <v>8039407355</v>
      </c>
      <c r="T408" s="891">
        <f t="shared" si="134"/>
        <v>0</v>
      </c>
      <c r="U408" s="891">
        <f t="shared" si="134"/>
        <v>0</v>
      </c>
      <c r="V408" s="891">
        <f t="shared" si="134"/>
        <v>0</v>
      </c>
      <c r="W408" s="891">
        <f t="shared" si="134"/>
        <v>8039407355</v>
      </c>
      <c r="X408" s="891">
        <f t="shared" si="134"/>
        <v>0</v>
      </c>
      <c r="Y408" s="891">
        <f t="shared" si="134"/>
        <v>70846703899</v>
      </c>
    </row>
    <row r="409" spans="1:25" ht="32.1" customHeight="1">
      <c r="A409" s="943" t="s">
        <v>103</v>
      </c>
      <c r="B409" s="944" t="s">
        <v>1088</v>
      </c>
      <c r="C409" s="919" t="s">
        <v>1089</v>
      </c>
      <c r="D409" s="870" t="s">
        <v>825</v>
      </c>
      <c r="E409" s="870" t="s">
        <v>572</v>
      </c>
      <c r="F409" s="862">
        <v>99596000000</v>
      </c>
      <c r="G409" s="862">
        <v>62807296544</v>
      </c>
      <c r="H409" s="862"/>
      <c r="I409" s="862"/>
      <c r="J409" s="862"/>
      <c r="K409" s="862">
        <f>SUM(L409:M409)</f>
        <v>0</v>
      </c>
      <c r="L409" s="862"/>
      <c r="M409" s="862"/>
      <c r="N409" s="862"/>
      <c r="O409" s="862"/>
      <c r="P409" s="862"/>
      <c r="Q409" s="946">
        <v>8300000000</v>
      </c>
      <c r="R409" s="862">
        <f>SUM(S409:T409)</f>
        <v>8039407355</v>
      </c>
      <c r="S409" s="862">
        <v>8039407355</v>
      </c>
      <c r="T409" s="862"/>
      <c r="U409" s="862"/>
      <c r="V409" s="862"/>
      <c r="W409" s="862">
        <f t="shared" si="116"/>
        <v>8039407355</v>
      </c>
      <c r="X409" s="862">
        <f t="shared" si="117"/>
        <v>0</v>
      </c>
      <c r="Y409" s="862">
        <f t="shared" si="118"/>
        <v>70846703899</v>
      </c>
    </row>
    <row r="410" spans="1:25" s="514" customFormat="1" ht="42" customHeight="1">
      <c r="A410" s="939" t="s">
        <v>112</v>
      </c>
      <c r="B410" s="940" t="s">
        <v>1090</v>
      </c>
      <c r="C410" s="950"/>
      <c r="D410" s="888"/>
      <c r="E410" s="888"/>
      <c r="F410" s="891"/>
      <c r="G410" s="891"/>
      <c r="H410" s="891"/>
      <c r="I410" s="891"/>
      <c r="J410" s="891"/>
      <c r="K410" s="891"/>
      <c r="L410" s="891"/>
      <c r="M410" s="891"/>
      <c r="N410" s="891"/>
      <c r="O410" s="891"/>
      <c r="P410" s="891"/>
      <c r="Q410" s="942">
        <v>127505000000</v>
      </c>
      <c r="R410" s="891">
        <v>101502837968</v>
      </c>
      <c r="S410" s="891">
        <v>101502837968</v>
      </c>
      <c r="T410" s="891">
        <v>0</v>
      </c>
      <c r="U410" s="891">
        <v>0</v>
      </c>
      <c r="V410" s="891">
        <v>26002162032</v>
      </c>
      <c r="W410" s="891">
        <f>+W411+W412+W413+W414+W415+W416</f>
        <v>104716837968</v>
      </c>
      <c r="X410" s="891">
        <v>0</v>
      </c>
      <c r="Y410" s="891">
        <v>101502837968</v>
      </c>
    </row>
    <row r="411" spans="1:25" ht="24.95" customHeight="1">
      <c r="A411" s="943" t="s">
        <v>103</v>
      </c>
      <c r="B411" s="944" t="s">
        <v>1538</v>
      </c>
      <c r="C411" s="919"/>
      <c r="D411" s="870"/>
      <c r="E411" s="870" t="s">
        <v>1091</v>
      </c>
      <c r="F411" s="862"/>
      <c r="G411" s="862"/>
      <c r="H411" s="862"/>
      <c r="I411" s="862"/>
      <c r="J411" s="862"/>
      <c r="K411" s="862"/>
      <c r="L411" s="862"/>
      <c r="M411" s="862"/>
      <c r="N411" s="862"/>
      <c r="O411" s="862"/>
      <c r="P411" s="862"/>
      <c r="Q411" s="946">
        <v>1662000000</v>
      </c>
      <c r="R411" s="862">
        <v>1662000000</v>
      </c>
      <c r="S411" s="862">
        <v>1662000000</v>
      </c>
      <c r="T411" s="862"/>
      <c r="U411" s="862"/>
      <c r="V411" s="862">
        <v>0</v>
      </c>
      <c r="W411" s="862">
        <v>1662000000</v>
      </c>
      <c r="X411" s="862"/>
      <c r="Y411" s="862">
        <v>1662000000</v>
      </c>
    </row>
    <row r="412" spans="1:25" ht="15" customHeight="1">
      <c r="A412" s="943" t="s">
        <v>104</v>
      </c>
      <c r="B412" s="944" t="s">
        <v>1566</v>
      </c>
      <c r="C412" s="919"/>
      <c r="D412" s="870"/>
      <c r="E412" s="870"/>
      <c r="F412" s="862"/>
      <c r="G412" s="862"/>
      <c r="H412" s="862"/>
      <c r="I412" s="862"/>
      <c r="J412" s="862"/>
      <c r="K412" s="862"/>
      <c r="L412" s="862"/>
      <c r="M412" s="862"/>
      <c r="N412" s="862"/>
      <c r="O412" s="862"/>
      <c r="P412" s="862"/>
      <c r="Q412" s="946">
        <v>1251000000</v>
      </c>
      <c r="R412" s="862">
        <v>0</v>
      </c>
      <c r="S412" s="862"/>
      <c r="T412" s="862"/>
      <c r="U412" s="862"/>
      <c r="V412" s="862">
        <v>1251000000</v>
      </c>
      <c r="W412" s="862">
        <v>0</v>
      </c>
      <c r="X412" s="862"/>
      <c r="Y412" s="862">
        <v>0</v>
      </c>
    </row>
    <row r="413" spans="1:25" ht="24.95" customHeight="1">
      <c r="A413" s="943" t="s">
        <v>105</v>
      </c>
      <c r="B413" s="944" t="s">
        <v>1092</v>
      </c>
      <c r="C413" s="919"/>
      <c r="D413" s="870"/>
      <c r="E413" s="870" t="s">
        <v>1093</v>
      </c>
      <c r="F413" s="862"/>
      <c r="G413" s="862"/>
      <c r="H413" s="862"/>
      <c r="I413" s="862"/>
      <c r="J413" s="862"/>
      <c r="K413" s="862"/>
      <c r="L413" s="862"/>
      <c r="M413" s="862"/>
      <c r="N413" s="862"/>
      <c r="O413" s="862"/>
      <c r="P413" s="862"/>
      <c r="Q413" s="946">
        <v>1346000000</v>
      </c>
      <c r="R413" s="862">
        <v>1346000000</v>
      </c>
      <c r="S413" s="862">
        <v>1346000000</v>
      </c>
      <c r="T413" s="862"/>
      <c r="U413" s="862"/>
      <c r="V413" s="862">
        <v>0</v>
      </c>
      <c r="W413" s="862">
        <v>1346000000</v>
      </c>
      <c r="X413" s="862"/>
      <c r="Y413" s="862">
        <v>1346000000</v>
      </c>
    </row>
    <row r="414" spans="1:25" ht="32.1" customHeight="1">
      <c r="A414" s="943" t="s">
        <v>147</v>
      </c>
      <c r="B414" s="944" t="s">
        <v>1539</v>
      </c>
      <c r="C414" s="919"/>
      <c r="D414" s="870"/>
      <c r="E414" s="870"/>
      <c r="F414" s="862"/>
      <c r="G414" s="862"/>
      <c r="H414" s="862"/>
      <c r="I414" s="862"/>
      <c r="J414" s="862"/>
      <c r="K414" s="862"/>
      <c r="L414" s="862"/>
      <c r="M414" s="862"/>
      <c r="N414" s="862"/>
      <c r="O414" s="862"/>
      <c r="P414" s="862"/>
      <c r="Q414" s="946">
        <v>84176000000</v>
      </c>
      <c r="R414" s="862">
        <v>84175938968</v>
      </c>
      <c r="S414" s="862">
        <v>84175938968</v>
      </c>
      <c r="T414" s="862"/>
      <c r="U414" s="862"/>
      <c r="V414" s="862">
        <v>61032</v>
      </c>
      <c r="W414" s="862">
        <v>84175938968</v>
      </c>
      <c r="X414" s="862"/>
      <c r="Y414" s="862">
        <v>84175938968</v>
      </c>
    </row>
    <row r="415" spans="1:25" ht="24.95" customHeight="1">
      <c r="A415" s="943" t="s">
        <v>477</v>
      </c>
      <c r="B415" s="944" t="s">
        <v>1540</v>
      </c>
      <c r="C415" s="919"/>
      <c r="D415" s="870"/>
      <c r="E415" s="870" t="s">
        <v>7</v>
      </c>
      <c r="F415" s="862"/>
      <c r="G415" s="862"/>
      <c r="H415" s="862"/>
      <c r="I415" s="862"/>
      <c r="J415" s="862"/>
      <c r="K415" s="862"/>
      <c r="L415" s="862"/>
      <c r="M415" s="862"/>
      <c r="N415" s="862"/>
      <c r="O415" s="862"/>
      <c r="P415" s="862"/>
      <c r="Q415" s="946">
        <v>35856000000</v>
      </c>
      <c r="R415" s="862">
        <v>14318899000</v>
      </c>
      <c r="S415" s="862">
        <v>14318899000</v>
      </c>
      <c r="T415" s="862"/>
      <c r="U415" s="862"/>
      <c r="V415" s="862">
        <v>21537101000</v>
      </c>
      <c r="W415" s="862">
        <v>14318899000</v>
      </c>
      <c r="X415" s="862"/>
      <c r="Y415" s="862">
        <v>14318899000</v>
      </c>
    </row>
    <row r="416" spans="1:25" ht="32.1" customHeight="1">
      <c r="A416" s="943" t="s">
        <v>106</v>
      </c>
      <c r="B416" s="944" t="s">
        <v>1094</v>
      </c>
      <c r="C416" s="919"/>
      <c r="D416" s="870"/>
      <c r="E416" s="870"/>
      <c r="F416" s="862"/>
      <c r="G416" s="862"/>
      <c r="H416" s="862"/>
      <c r="I416" s="862"/>
      <c r="J416" s="862"/>
      <c r="K416" s="862"/>
      <c r="L416" s="862"/>
      <c r="M416" s="862"/>
      <c r="N416" s="862"/>
      <c r="O416" s="862"/>
      <c r="P416" s="862"/>
      <c r="Q416" s="946">
        <v>3214000000</v>
      </c>
      <c r="R416" s="862">
        <v>0</v>
      </c>
      <c r="S416" s="862"/>
      <c r="T416" s="862"/>
      <c r="U416" s="862"/>
      <c r="V416" s="862">
        <v>3214000000</v>
      </c>
      <c r="W416" s="862">
        <v>3214000000</v>
      </c>
      <c r="X416" s="862"/>
      <c r="Y416" s="862">
        <v>0</v>
      </c>
    </row>
    <row r="417" spans="1:25" hidden="1">
      <c r="A417" s="943"/>
      <c r="B417" s="944"/>
      <c r="C417" s="919"/>
      <c r="D417" s="870"/>
      <c r="E417" s="870"/>
      <c r="F417" s="862"/>
      <c r="G417" s="862"/>
      <c r="H417" s="862"/>
      <c r="I417" s="862"/>
      <c r="J417" s="862"/>
      <c r="K417" s="862"/>
      <c r="L417" s="862"/>
      <c r="M417" s="862"/>
      <c r="N417" s="862"/>
      <c r="O417" s="862"/>
      <c r="P417" s="862"/>
      <c r="Q417" s="946"/>
      <c r="R417" s="862"/>
      <c r="S417" s="862"/>
      <c r="T417" s="862"/>
      <c r="U417" s="862"/>
      <c r="V417" s="862"/>
      <c r="W417" s="862"/>
      <c r="X417" s="862"/>
      <c r="Y417" s="862"/>
    </row>
    <row r="418" spans="1:25" hidden="1">
      <c r="A418" s="943"/>
      <c r="B418" s="944"/>
      <c r="C418" s="919"/>
      <c r="D418" s="870"/>
      <c r="E418" s="870"/>
      <c r="F418" s="862"/>
      <c r="G418" s="862"/>
      <c r="H418" s="862"/>
      <c r="I418" s="862"/>
      <c r="J418" s="862"/>
      <c r="K418" s="862"/>
      <c r="L418" s="862"/>
      <c r="M418" s="862"/>
      <c r="N418" s="862"/>
      <c r="O418" s="862"/>
      <c r="P418" s="862"/>
      <c r="Q418" s="946"/>
      <c r="R418" s="862"/>
      <c r="S418" s="862"/>
      <c r="T418" s="862"/>
      <c r="U418" s="862"/>
      <c r="V418" s="862"/>
      <c r="W418" s="862"/>
      <c r="X418" s="862"/>
      <c r="Y418" s="862"/>
    </row>
    <row r="419" spans="1:25" hidden="1">
      <c r="A419" s="943"/>
      <c r="B419" s="944"/>
      <c r="C419" s="919"/>
      <c r="D419" s="870"/>
      <c r="E419" s="870"/>
      <c r="F419" s="862"/>
      <c r="G419" s="862"/>
      <c r="H419" s="862"/>
      <c r="I419" s="862"/>
      <c r="J419" s="862"/>
      <c r="K419" s="862"/>
      <c r="L419" s="862"/>
      <c r="M419" s="862"/>
      <c r="N419" s="862"/>
      <c r="O419" s="862"/>
      <c r="P419" s="862"/>
      <c r="Q419" s="946"/>
      <c r="R419" s="862"/>
      <c r="S419" s="862"/>
      <c r="T419" s="862"/>
      <c r="U419" s="862"/>
      <c r="V419" s="862"/>
      <c r="W419" s="862"/>
      <c r="X419" s="862"/>
      <c r="Y419" s="862"/>
    </row>
    <row r="420" spans="1:25" hidden="1">
      <c r="A420" s="943"/>
      <c r="B420" s="944"/>
      <c r="C420" s="919"/>
      <c r="D420" s="870"/>
      <c r="E420" s="870"/>
      <c r="F420" s="862"/>
      <c r="G420" s="862"/>
      <c r="H420" s="862"/>
      <c r="I420" s="862"/>
      <c r="J420" s="862"/>
      <c r="K420" s="862"/>
      <c r="L420" s="862"/>
      <c r="M420" s="862"/>
      <c r="N420" s="862"/>
      <c r="O420" s="862"/>
      <c r="P420" s="862"/>
      <c r="Q420" s="946"/>
      <c r="R420" s="862"/>
      <c r="S420" s="862"/>
      <c r="T420" s="862"/>
      <c r="U420" s="862"/>
      <c r="V420" s="862"/>
      <c r="W420" s="862"/>
      <c r="X420" s="862"/>
      <c r="Y420" s="862"/>
    </row>
    <row r="421" spans="1:25" hidden="1">
      <c r="A421" s="943"/>
      <c r="B421" s="944"/>
      <c r="C421" s="919"/>
      <c r="D421" s="870"/>
      <c r="E421" s="870"/>
      <c r="F421" s="862"/>
      <c r="G421" s="862"/>
      <c r="H421" s="862"/>
      <c r="I421" s="862"/>
      <c r="J421" s="862"/>
      <c r="K421" s="862"/>
      <c r="L421" s="862"/>
      <c r="M421" s="862"/>
      <c r="N421" s="862"/>
      <c r="O421" s="862"/>
      <c r="P421" s="862"/>
      <c r="Q421" s="946"/>
      <c r="R421" s="862"/>
      <c r="S421" s="862"/>
      <c r="T421" s="862"/>
      <c r="U421" s="862"/>
      <c r="V421" s="862"/>
      <c r="W421" s="862"/>
      <c r="X421" s="862"/>
      <c r="Y421" s="862"/>
    </row>
    <row r="422" spans="1:25" hidden="1">
      <c r="A422" s="943"/>
      <c r="B422" s="944"/>
      <c r="C422" s="919"/>
      <c r="D422" s="870"/>
      <c r="E422" s="870"/>
      <c r="F422" s="862"/>
      <c r="G422" s="862"/>
      <c r="H422" s="862"/>
      <c r="I422" s="862"/>
      <c r="J422" s="862"/>
      <c r="K422" s="862"/>
      <c r="L422" s="862"/>
      <c r="M422" s="862"/>
      <c r="N422" s="862"/>
      <c r="O422" s="862"/>
      <c r="P422" s="862"/>
      <c r="Q422" s="946"/>
      <c r="R422" s="862"/>
      <c r="S422" s="862"/>
      <c r="T422" s="862"/>
      <c r="U422" s="862"/>
      <c r="V422" s="862"/>
      <c r="W422" s="862"/>
      <c r="X422" s="862"/>
      <c r="Y422" s="862"/>
    </row>
    <row r="423" spans="1:25" hidden="1">
      <c r="A423" s="943"/>
      <c r="B423" s="944"/>
      <c r="C423" s="919"/>
      <c r="D423" s="870"/>
      <c r="E423" s="870"/>
      <c r="F423" s="862"/>
      <c r="G423" s="862"/>
      <c r="H423" s="862"/>
      <c r="I423" s="862"/>
      <c r="J423" s="862"/>
      <c r="K423" s="862"/>
      <c r="L423" s="862"/>
      <c r="M423" s="862"/>
      <c r="N423" s="862"/>
      <c r="O423" s="862"/>
      <c r="P423" s="862"/>
      <c r="Q423" s="946"/>
      <c r="R423" s="862"/>
      <c r="S423" s="862"/>
      <c r="T423" s="862"/>
      <c r="U423" s="862"/>
      <c r="V423" s="862"/>
      <c r="W423" s="862"/>
      <c r="X423" s="862"/>
      <c r="Y423" s="862"/>
    </row>
    <row r="424" spans="1:25" hidden="1">
      <c r="A424" s="943"/>
      <c r="B424" s="944"/>
      <c r="C424" s="919"/>
      <c r="D424" s="870"/>
      <c r="E424" s="870"/>
      <c r="F424" s="862"/>
      <c r="G424" s="862"/>
      <c r="H424" s="862"/>
      <c r="I424" s="862"/>
      <c r="J424" s="862"/>
      <c r="K424" s="862"/>
      <c r="L424" s="862"/>
      <c r="M424" s="862"/>
      <c r="N424" s="862"/>
      <c r="O424" s="862"/>
      <c r="P424" s="862"/>
      <c r="Q424" s="946"/>
      <c r="R424" s="862"/>
      <c r="S424" s="862"/>
      <c r="T424" s="862"/>
      <c r="U424" s="862"/>
      <c r="V424" s="862"/>
      <c r="W424" s="862"/>
      <c r="X424" s="862"/>
      <c r="Y424" s="862"/>
    </row>
    <row r="425" spans="1:25" hidden="1">
      <c r="A425" s="943"/>
      <c r="B425" s="944"/>
      <c r="C425" s="919"/>
      <c r="D425" s="870"/>
      <c r="E425" s="870"/>
      <c r="F425" s="862"/>
      <c r="G425" s="862"/>
      <c r="H425" s="862"/>
      <c r="I425" s="862"/>
      <c r="J425" s="862"/>
      <c r="K425" s="862"/>
      <c r="L425" s="862"/>
      <c r="M425" s="862"/>
      <c r="N425" s="862"/>
      <c r="O425" s="862"/>
      <c r="P425" s="862"/>
      <c r="Q425" s="946"/>
      <c r="R425" s="862"/>
      <c r="S425" s="862"/>
      <c r="T425" s="862"/>
      <c r="U425" s="862"/>
      <c r="V425" s="862"/>
      <c r="W425" s="862"/>
      <c r="X425" s="862"/>
      <c r="Y425" s="862"/>
    </row>
    <row r="426" spans="1:25" hidden="1">
      <c r="A426" s="943"/>
      <c r="B426" s="944"/>
      <c r="C426" s="919"/>
      <c r="D426" s="870"/>
      <c r="E426" s="870"/>
      <c r="F426" s="862"/>
      <c r="G426" s="862"/>
      <c r="H426" s="862"/>
      <c r="I426" s="862"/>
      <c r="J426" s="862"/>
      <c r="K426" s="862"/>
      <c r="L426" s="862"/>
      <c r="M426" s="862"/>
      <c r="N426" s="862"/>
      <c r="O426" s="862"/>
      <c r="P426" s="862"/>
      <c r="Q426" s="946"/>
      <c r="R426" s="862"/>
      <c r="S426" s="862"/>
      <c r="T426" s="862"/>
      <c r="U426" s="862"/>
      <c r="V426" s="862"/>
      <c r="W426" s="862"/>
      <c r="X426" s="862"/>
      <c r="Y426" s="862"/>
    </row>
    <row r="427" spans="1:25" hidden="1">
      <c r="A427" s="943"/>
      <c r="B427" s="944"/>
      <c r="C427" s="919"/>
      <c r="D427" s="870"/>
      <c r="E427" s="870"/>
      <c r="F427" s="862"/>
      <c r="G427" s="862"/>
      <c r="H427" s="862"/>
      <c r="I427" s="862"/>
      <c r="J427" s="862"/>
      <c r="K427" s="862"/>
      <c r="L427" s="862"/>
      <c r="M427" s="862"/>
      <c r="N427" s="862"/>
      <c r="O427" s="862"/>
      <c r="P427" s="862"/>
      <c r="Q427" s="946"/>
      <c r="R427" s="862"/>
      <c r="S427" s="862"/>
      <c r="T427" s="862"/>
      <c r="U427" s="862"/>
      <c r="V427" s="862"/>
      <c r="W427" s="862"/>
      <c r="X427" s="862"/>
      <c r="Y427" s="862"/>
    </row>
    <row r="428" spans="1:25" ht="15" customHeight="1">
      <c r="A428" s="871">
        <v>4</v>
      </c>
      <c r="B428" s="883" t="s">
        <v>815</v>
      </c>
      <c r="C428" s="875"/>
      <c r="D428" s="870"/>
      <c r="E428" s="871"/>
      <c r="F428" s="884">
        <f>F429+F434+F437+F445</f>
        <v>2435592000000</v>
      </c>
      <c r="G428" s="884">
        <f t="shared" ref="G428:Y428" si="135">G429+G434+G437+G445</f>
        <v>1805183977371</v>
      </c>
      <c r="H428" s="884">
        <f t="shared" si="135"/>
        <v>0</v>
      </c>
      <c r="I428" s="884">
        <f t="shared" si="135"/>
        <v>0</v>
      </c>
      <c r="J428" s="884">
        <f t="shared" si="135"/>
        <v>0</v>
      </c>
      <c r="K428" s="884">
        <f t="shared" si="135"/>
        <v>206720000000</v>
      </c>
      <c r="L428" s="884">
        <f t="shared" si="135"/>
        <v>183046454062</v>
      </c>
      <c r="M428" s="884">
        <f t="shared" si="135"/>
        <v>167841175062</v>
      </c>
      <c r="N428" s="884">
        <f t="shared" si="135"/>
        <v>15205279000</v>
      </c>
      <c r="O428" s="884">
        <f t="shared" si="135"/>
        <v>0</v>
      </c>
      <c r="P428" s="884">
        <f t="shared" si="135"/>
        <v>485289241</v>
      </c>
      <c r="Q428" s="884">
        <f t="shared" si="135"/>
        <v>50000000000</v>
      </c>
      <c r="R428" s="884">
        <f t="shared" si="135"/>
        <v>13076909000</v>
      </c>
      <c r="S428" s="884">
        <f t="shared" si="135"/>
        <v>6299241000</v>
      </c>
      <c r="T428" s="884">
        <f t="shared" si="135"/>
        <v>6777668000</v>
      </c>
      <c r="U428" s="884">
        <f t="shared" si="135"/>
        <v>0</v>
      </c>
      <c r="V428" s="884">
        <f t="shared" si="135"/>
        <v>0</v>
      </c>
      <c r="W428" s="884">
        <f t="shared" si="135"/>
        <v>174140416062</v>
      </c>
      <c r="X428" s="884">
        <f t="shared" si="135"/>
        <v>21982947000</v>
      </c>
      <c r="Y428" s="884">
        <f t="shared" si="135"/>
        <v>1999759629674</v>
      </c>
    </row>
    <row r="429" spans="1:25" ht="15" customHeight="1">
      <c r="A429" s="879" t="s">
        <v>797</v>
      </c>
      <c r="B429" s="885" t="s">
        <v>816</v>
      </c>
      <c r="C429" s="880"/>
      <c r="D429" s="870"/>
      <c r="E429" s="879"/>
      <c r="F429" s="886">
        <f>SUM(F430:F433)</f>
        <v>317665000000</v>
      </c>
      <c r="G429" s="886">
        <f t="shared" ref="G429:Y429" si="136">SUM(G430:G433)</f>
        <v>220492049700</v>
      </c>
      <c r="H429" s="886">
        <f t="shared" si="136"/>
        <v>0</v>
      </c>
      <c r="I429" s="886">
        <f t="shared" si="136"/>
        <v>0</v>
      </c>
      <c r="J429" s="886">
        <f t="shared" si="136"/>
        <v>0</v>
      </c>
      <c r="K429" s="886">
        <f t="shared" si="136"/>
        <v>2756000000</v>
      </c>
      <c r="L429" s="886">
        <f>SUM(L430:L433)</f>
        <v>1235152000</v>
      </c>
      <c r="M429" s="886">
        <f t="shared" si="136"/>
        <v>1219843000</v>
      </c>
      <c r="N429" s="886">
        <f t="shared" si="136"/>
        <v>15309000</v>
      </c>
      <c r="O429" s="886">
        <f t="shared" si="136"/>
        <v>0</v>
      </c>
      <c r="P429" s="886">
        <f t="shared" si="136"/>
        <v>0</v>
      </c>
      <c r="Q429" s="886">
        <f t="shared" si="136"/>
        <v>50000000000</v>
      </c>
      <c r="R429" s="886">
        <f t="shared" si="136"/>
        <v>13076909000</v>
      </c>
      <c r="S429" s="886">
        <f t="shared" si="136"/>
        <v>6299241000</v>
      </c>
      <c r="T429" s="886">
        <f t="shared" si="136"/>
        <v>6777668000</v>
      </c>
      <c r="U429" s="886">
        <f t="shared" si="136"/>
        <v>0</v>
      </c>
      <c r="V429" s="886">
        <f t="shared" si="136"/>
        <v>0</v>
      </c>
      <c r="W429" s="886">
        <f>SUM(W430:W433)</f>
        <v>7519084000</v>
      </c>
      <c r="X429" s="886">
        <f t="shared" si="136"/>
        <v>6792977000</v>
      </c>
      <c r="Y429" s="886">
        <f t="shared" si="136"/>
        <v>234804110700</v>
      </c>
    </row>
    <row r="430" spans="1:25" ht="51.95" customHeight="1">
      <c r="A430" s="879"/>
      <c r="B430" s="865" t="s">
        <v>1567</v>
      </c>
      <c r="C430" s="876" t="s">
        <v>1095</v>
      </c>
      <c r="D430" s="870" t="s">
        <v>825</v>
      </c>
      <c r="E430" s="870">
        <v>7618350</v>
      </c>
      <c r="F430" s="862">
        <v>7984000000</v>
      </c>
      <c r="G430" s="862"/>
      <c r="H430" s="886"/>
      <c r="I430" s="886"/>
      <c r="J430" s="886"/>
      <c r="K430" s="886"/>
      <c r="L430" s="886"/>
      <c r="M430" s="886"/>
      <c r="N430" s="886"/>
      <c r="O430" s="886"/>
      <c r="P430" s="886"/>
      <c r="Q430" s="862">
        <v>50000000000</v>
      </c>
      <c r="R430" s="862">
        <v>13076909000</v>
      </c>
      <c r="S430" s="862">
        <v>6299241000</v>
      </c>
      <c r="T430" s="862">
        <f t="shared" ref="T430" si="137">R430-S430</f>
        <v>6777668000</v>
      </c>
      <c r="U430" s="886"/>
      <c r="V430" s="886"/>
      <c r="W430" s="862">
        <f>J430+M430+S430</f>
        <v>6299241000</v>
      </c>
      <c r="X430" s="862">
        <f t="shared" si="117"/>
        <v>6777668000</v>
      </c>
      <c r="Y430" s="862">
        <f t="shared" si="118"/>
        <v>13076909000</v>
      </c>
    </row>
    <row r="431" spans="1:25" ht="24.95" customHeight="1">
      <c r="A431" s="870"/>
      <c r="B431" s="887" t="s">
        <v>1096</v>
      </c>
      <c r="C431" s="876"/>
      <c r="D431" s="870" t="s">
        <v>825</v>
      </c>
      <c r="E431" s="870">
        <v>7011560</v>
      </c>
      <c r="F431" s="862">
        <v>47497000000</v>
      </c>
      <c r="G431" s="862">
        <v>31775136000</v>
      </c>
      <c r="H431" s="862"/>
      <c r="I431" s="862"/>
      <c r="J431" s="862"/>
      <c r="K431" s="862">
        <v>1200000000</v>
      </c>
      <c r="L431" s="862">
        <v>0</v>
      </c>
      <c r="M431" s="862">
        <v>0</v>
      </c>
      <c r="N431" s="862">
        <v>0</v>
      </c>
      <c r="O431" s="862"/>
      <c r="P431" s="862"/>
      <c r="Q431" s="862"/>
      <c r="R431" s="862"/>
      <c r="S431" s="862"/>
      <c r="T431" s="862"/>
      <c r="U431" s="862"/>
      <c r="V431" s="862"/>
      <c r="W431" s="862">
        <f t="shared" si="116"/>
        <v>0</v>
      </c>
      <c r="X431" s="862">
        <f t="shared" si="117"/>
        <v>0</v>
      </c>
      <c r="Y431" s="862">
        <f t="shared" si="118"/>
        <v>31775136000</v>
      </c>
    </row>
    <row r="432" spans="1:25" s="980" customFormat="1" ht="32.1" customHeight="1">
      <c r="A432" s="978"/>
      <c r="B432" s="982" t="s">
        <v>1541</v>
      </c>
      <c r="C432" s="977"/>
      <c r="D432" s="978" t="s">
        <v>825</v>
      </c>
      <c r="E432" s="978">
        <v>7002179</v>
      </c>
      <c r="F432" s="979">
        <v>109570000000</v>
      </c>
      <c r="G432" s="979">
        <v>101290917700</v>
      </c>
      <c r="H432" s="979"/>
      <c r="I432" s="979"/>
      <c r="J432" s="979"/>
      <c r="K432" s="979">
        <v>1421000000</v>
      </c>
      <c r="L432" s="979">
        <v>1100152000</v>
      </c>
      <c r="M432" s="979">
        <v>1084843000</v>
      </c>
      <c r="N432" s="979">
        <v>15309000</v>
      </c>
      <c r="O432" s="979"/>
      <c r="P432" s="979"/>
      <c r="Q432" s="979"/>
      <c r="R432" s="979"/>
      <c r="S432" s="979"/>
      <c r="T432" s="979"/>
      <c r="U432" s="979"/>
      <c r="V432" s="979"/>
      <c r="W432" s="979">
        <f t="shared" si="116"/>
        <v>1084843000</v>
      </c>
      <c r="X432" s="979">
        <f t="shared" si="117"/>
        <v>15309000</v>
      </c>
      <c r="Y432" s="979">
        <f t="shared" si="118"/>
        <v>102391069700</v>
      </c>
    </row>
    <row r="433" spans="1:25" ht="24.95" customHeight="1">
      <c r="A433" s="870"/>
      <c r="B433" s="887" t="s">
        <v>1097</v>
      </c>
      <c r="C433" s="876"/>
      <c r="D433" s="870" t="s">
        <v>825</v>
      </c>
      <c r="E433" s="870">
        <v>7003165</v>
      </c>
      <c r="F433" s="862">
        <v>152614000000</v>
      </c>
      <c r="G433" s="862">
        <v>87425996000</v>
      </c>
      <c r="H433" s="862"/>
      <c r="I433" s="862"/>
      <c r="J433" s="862"/>
      <c r="K433" s="862">
        <v>135000000</v>
      </c>
      <c r="L433" s="862">
        <v>135000000</v>
      </c>
      <c r="M433" s="862">
        <v>135000000</v>
      </c>
      <c r="N433" s="862">
        <v>0</v>
      </c>
      <c r="O433" s="862"/>
      <c r="P433" s="862"/>
      <c r="Q433" s="862"/>
      <c r="R433" s="862"/>
      <c r="S433" s="862"/>
      <c r="T433" s="862"/>
      <c r="U433" s="862"/>
      <c r="V433" s="862"/>
      <c r="W433" s="862">
        <f t="shared" si="116"/>
        <v>135000000</v>
      </c>
      <c r="X433" s="862">
        <f t="shared" si="117"/>
        <v>0</v>
      </c>
      <c r="Y433" s="862">
        <f t="shared" si="118"/>
        <v>87560996000</v>
      </c>
    </row>
    <row r="434" spans="1:25" ht="15" customHeight="1">
      <c r="A434" s="879" t="s">
        <v>799</v>
      </c>
      <c r="B434" s="885" t="s">
        <v>817</v>
      </c>
      <c r="C434" s="880"/>
      <c r="D434" s="870" t="s">
        <v>825</v>
      </c>
      <c r="E434" s="879"/>
      <c r="F434" s="886">
        <f>SUM(F435:F436)</f>
        <v>889997000000</v>
      </c>
      <c r="G434" s="886">
        <f t="shared" ref="G434:Y434" si="138">SUM(G435:G436)</f>
        <v>787263220833</v>
      </c>
      <c r="H434" s="886">
        <f t="shared" si="138"/>
        <v>0</v>
      </c>
      <c r="I434" s="886">
        <f t="shared" si="138"/>
        <v>0</v>
      </c>
      <c r="J434" s="886">
        <f t="shared" si="138"/>
        <v>0</v>
      </c>
      <c r="K434" s="886">
        <f t="shared" si="138"/>
        <v>63000000000</v>
      </c>
      <c r="L434" s="886">
        <f t="shared" si="138"/>
        <v>63000000000</v>
      </c>
      <c r="M434" s="886">
        <f t="shared" si="138"/>
        <v>62305739000</v>
      </c>
      <c r="N434" s="886">
        <f t="shared" si="138"/>
        <v>694261000</v>
      </c>
      <c r="O434" s="886">
        <f t="shared" si="138"/>
        <v>0</v>
      </c>
      <c r="P434" s="886">
        <f t="shared" si="138"/>
        <v>0</v>
      </c>
      <c r="Q434" s="886">
        <f t="shared" si="138"/>
        <v>0</v>
      </c>
      <c r="R434" s="886">
        <f t="shared" si="138"/>
        <v>0</v>
      </c>
      <c r="S434" s="886">
        <f t="shared" si="138"/>
        <v>0</v>
      </c>
      <c r="T434" s="886">
        <f t="shared" si="138"/>
        <v>0</v>
      </c>
      <c r="U434" s="886">
        <f t="shared" si="138"/>
        <v>0</v>
      </c>
      <c r="V434" s="886">
        <f t="shared" si="138"/>
        <v>0</v>
      </c>
      <c r="W434" s="886">
        <f>SUM(W435:W436)</f>
        <v>62305739000</v>
      </c>
      <c r="X434" s="886">
        <f t="shared" si="138"/>
        <v>694261000</v>
      </c>
      <c r="Y434" s="886">
        <f t="shared" si="138"/>
        <v>850263220833</v>
      </c>
    </row>
    <row r="435" spans="1:25" ht="24.95" customHeight="1">
      <c r="A435" s="870"/>
      <c r="B435" s="887" t="s">
        <v>1098</v>
      </c>
      <c r="C435" s="876"/>
      <c r="D435" s="870" t="s">
        <v>825</v>
      </c>
      <c r="E435" s="870">
        <v>7002790</v>
      </c>
      <c r="F435" s="862">
        <v>558585000000</v>
      </c>
      <c r="G435" s="862">
        <v>482063220833</v>
      </c>
      <c r="H435" s="862"/>
      <c r="I435" s="862"/>
      <c r="J435" s="862"/>
      <c r="K435" s="862">
        <v>43000000000</v>
      </c>
      <c r="L435" s="862">
        <v>43000000000</v>
      </c>
      <c r="M435" s="862">
        <v>42305739000</v>
      </c>
      <c r="N435" s="862">
        <v>694261000</v>
      </c>
      <c r="O435" s="862"/>
      <c r="P435" s="862"/>
      <c r="Q435" s="862"/>
      <c r="R435" s="862"/>
      <c r="S435" s="862"/>
      <c r="T435" s="862"/>
      <c r="U435" s="862"/>
      <c r="V435" s="862"/>
      <c r="W435" s="862">
        <f t="shared" si="116"/>
        <v>42305739000</v>
      </c>
      <c r="X435" s="862">
        <f t="shared" si="117"/>
        <v>694261000</v>
      </c>
      <c r="Y435" s="862">
        <f t="shared" si="118"/>
        <v>525063220833</v>
      </c>
    </row>
    <row r="436" spans="1:25" ht="24.95" customHeight="1">
      <c r="A436" s="870"/>
      <c r="B436" s="887" t="s">
        <v>1099</v>
      </c>
      <c r="C436" s="876"/>
      <c r="D436" s="870" t="s">
        <v>825</v>
      </c>
      <c r="E436" s="870">
        <v>7002783</v>
      </c>
      <c r="F436" s="862">
        <v>331412000000</v>
      </c>
      <c r="G436" s="862">
        <v>305200000000</v>
      </c>
      <c r="H436" s="862"/>
      <c r="I436" s="862"/>
      <c r="J436" s="862"/>
      <c r="K436" s="862">
        <v>20000000000</v>
      </c>
      <c r="L436" s="862">
        <v>20000000000</v>
      </c>
      <c r="M436" s="862">
        <v>20000000000</v>
      </c>
      <c r="N436" s="862">
        <v>0</v>
      </c>
      <c r="O436" s="862"/>
      <c r="P436" s="862"/>
      <c r="Q436" s="862"/>
      <c r="R436" s="862"/>
      <c r="S436" s="862"/>
      <c r="T436" s="862"/>
      <c r="U436" s="862"/>
      <c r="V436" s="862"/>
      <c r="W436" s="862">
        <f t="shared" si="116"/>
        <v>20000000000</v>
      </c>
      <c r="X436" s="862">
        <f t="shared" si="117"/>
        <v>0</v>
      </c>
      <c r="Y436" s="862">
        <f t="shared" si="118"/>
        <v>325200000000</v>
      </c>
    </row>
    <row r="437" spans="1:25" ht="15" customHeight="1">
      <c r="A437" s="879" t="s">
        <v>801</v>
      </c>
      <c r="B437" s="885" t="s">
        <v>818</v>
      </c>
      <c r="C437" s="880"/>
      <c r="D437" s="870" t="s">
        <v>825</v>
      </c>
      <c r="E437" s="879"/>
      <c r="F437" s="886">
        <f>SUM(F438:F443)</f>
        <v>1227930000000</v>
      </c>
      <c r="G437" s="886">
        <f t="shared" ref="G437:Y437" si="139">SUM(G438:G443)</f>
        <v>797428706838</v>
      </c>
      <c r="H437" s="886">
        <f t="shared" si="139"/>
        <v>0</v>
      </c>
      <c r="I437" s="886">
        <f t="shared" si="139"/>
        <v>0</v>
      </c>
      <c r="J437" s="886">
        <f t="shared" si="139"/>
        <v>0</v>
      </c>
      <c r="K437" s="886">
        <f t="shared" si="139"/>
        <v>138931000000</v>
      </c>
      <c r="L437" s="886">
        <f t="shared" si="139"/>
        <v>117263591303</v>
      </c>
      <c r="M437" s="886">
        <f t="shared" si="139"/>
        <v>102767882303</v>
      </c>
      <c r="N437" s="886">
        <f t="shared" si="139"/>
        <v>14495709000</v>
      </c>
      <c r="O437" s="886">
        <f t="shared" si="139"/>
        <v>0</v>
      </c>
      <c r="P437" s="886">
        <f t="shared" si="139"/>
        <v>0</v>
      </c>
      <c r="Q437" s="886">
        <f t="shared" si="139"/>
        <v>0</v>
      </c>
      <c r="R437" s="886">
        <f t="shared" si="139"/>
        <v>0</v>
      </c>
      <c r="S437" s="886">
        <f t="shared" si="139"/>
        <v>0</v>
      </c>
      <c r="T437" s="886">
        <f t="shared" si="139"/>
        <v>0</v>
      </c>
      <c r="U437" s="886">
        <f t="shared" si="139"/>
        <v>0</v>
      </c>
      <c r="V437" s="886">
        <f t="shared" si="139"/>
        <v>0</v>
      </c>
      <c r="W437" s="886">
        <f>SUM(W438:W443)</f>
        <v>102767882303</v>
      </c>
      <c r="X437" s="886">
        <f t="shared" si="139"/>
        <v>14495709000</v>
      </c>
      <c r="Y437" s="886">
        <f t="shared" si="139"/>
        <v>914692298141</v>
      </c>
    </row>
    <row r="438" spans="1:25" ht="24.95" customHeight="1">
      <c r="A438" s="870"/>
      <c r="B438" s="887" t="s">
        <v>1100</v>
      </c>
      <c r="C438" s="876"/>
      <c r="D438" s="870" t="s">
        <v>825</v>
      </c>
      <c r="E438" s="870">
        <v>7098463</v>
      </c>
      <c r="F438" s="862">
        <v>146000000000</v>
      </c>
      <c r="G438" s="862">
        <v>101465734773</v>
      </c>
      <c r="H438" s="862"/>
      <c r="I438" s="862"/>
      <c r="J438" s="862"/>
      <c r="K438" s="862">
        <v>11164000000</v>
      </c>
      <c r="L438" s="862">
        <v>7638793000</v>
      </c>
      <c r="M438" s="862">
        <v>7638793000</v>
      </c>
      <c r="N438" s="862">
        <v>0</v>
      </c>
      <c r="O438" s="862"/>
      <c r="P438" s="862"/>
      <c r="Q438" s="862"/>
      <c r="R438" s="862"/>
      <c r="S438" s="862"/>
      <c r="T438" s="862"/>
      <c r="U438" s="862"/>
      <c r="V438" s="862"/>
      <c r="W438" s="862">
        <f t="shared" si="116"/>
        <v>7638793000</v>
      </c>
      <c r="X438" s="862">
        <f t="shared" si="117"/>
        <v>0</v>
      </c>
      <c r="Y438" s="862">
        <f t="shared" si="118"/>
        <v>109104527773</v>
      </c>
    </row>
    <row r="439" spans="1:25" ht="24.95" customHeight="1">
      <c r="A439" s="870"/>
      <c r="B439" s="887" t="s">
        <v>1101</v>
      </c>
      <c r="C439" s="876"/>
      <c r="D439" s="870" t="s">
        <v>825</v>
      </c>
      <c r="E439" s="870">
        <v>7008896</v>
      </c>
      <c r="F439" s="862">
        <v>214470000000</v>
      </c>
      <c r="G439" s="862">
        <v>131030284757</v>
      </c>
      <c r="H439" s="862"/>
      <c r="I439" s="862"/>
      <c r="J439" s="862"/>
      <c r="K439" s="862">
        <v>5709000000</v>
      </c>
      <c r="L439" s="862">
        <v>5708740803</v>
      </c>
      <c r="M439" s="862">
        <v>4214081803</v>
      </c>
      <c r="N439" s="862">
        <v>1494659000</v>
      </c>
      <c r="O439" s="862"/>
      <c r="P439" s="862"/>
      <c r="Q439" s="862"/>
      <c r="R439" s="862"/>
      <c r="S439" s="862"/>
      <c r="T439" s="862"/>
      <c r="U439" s="862"/>
      <c r="V439" s="862"/>
      <c r="W439" s="862">
        <f t="shared" si="116"/>
        <v>4214081803</v>
      </c>
      <c r="X439" s="862">
        <f t="shared" si="117"/>
        <v>1494659000</v>
      </c>
      <c r="Y439" s="862">
        <f t="shared" si="118"/>
        <v>136739025560</v>
      </c>
    </row>
    <row r="440" spans="1:25" ht="15" customHeight="1">
      <c r="A440" s="870"/>
      <c r="B440" s="887" t="s">
        <v>534</v>
      </c>
      <c r="C440" s="876"/>
      <c r="D440" s="870" t="s">
        <v>825</v>
      </c>
      <c r="E440" s="870">
        <v>7059535</v>
      </c>
      <c r="F440" s="862">
        <v>195360000000</v>
      </c>
      <c r="G440" s="862">
        <v>125408465000</v>
      </c>
      <c r="H440" s="862"/>
      <c r="I440" s="862"/>
      <c r="J440" s="862"/>
      <c r="K440" s="862">
        <v>452000000</v>
      </c>
      <c r="L440" s="862">
        <v>382804000</v>
      </c>
      <c r="M440" s="862">
        <v>382804000</v>
      </c>
      <c r="N440" s="862">
        <v>0</v>
      </c>
      <c r="O440" s="862"/>
      <c r="P440" s="862"/>
      <c r="Q440" s="862"/>
      <c r="R440" s="862"/>
      <c r="S440" s="862"/>
      <c r="T440" s="862"/>
      <c r="U440" s="862"/>
      <c r="V440" s="862"/>
      <c r="W440" s="862">
        <f t="shared" si="116"/>
        <v>382804000</v>
      </c>
      <c r="X440" s="862">
        <f t="shared" si="117"/>
        <v>0</v>
      </c>
      <c r="Y440" s="862">
        <f t="shared" si="118"/>
        <v>125791269000</v>
      </c>
    </row>
    <row r="441" spans="1:25" ht="15" customHeight="1">
      <c r="A441" s="870"/>
      <c r="B441" s="887" t="s">
        <v>1568</v>
      </c>
      <c r="C441" s="876"/>
      <c r="D441" s="870" t="s">
        <v>825</v>
      </c>
      <c r="E441" s="870">
        <v>7008259</v>
      </c>
      <c r="F441" s="862">
        <v>138590000000</v>
      </c>
      <c r="G441" s="862">
        <v>94783566508</v>
      </c>
      <c r="H441" s="862"/>
      <c r="I441" s="862"/>
      <c r="J441" s="862"/>
      <c r="K441" s="862">
        <v>13973000000</v>
      </c>
      <c r="L441" s="862">
        <v>9896310000</v>
      </c>
      <c r="M441" s="862">
        <v>9896310000</v>
      </c>
      <c r="N441" s="862">
        <v>0</v>
      </c>
      <c r="O441" s="862"/>
      <c r="P441" s="862"/>
      <c r="Q441" s="862"/>
      <c r="R441" s="862"/>
      <c r="S441" s="862"/>
      <c r="T441" s="862"/>
      <c r="U441" s="862"/>
      <c r="V441" s="862"/>
      <c r="W441" s="862">
        <f t="shared" si="116"/>
        <v>9896310000</v>
      </c>
      <c r="X441" s="862">
        <f t="shared" si="117"/>
        <v>0</v>
      </c>
      <c r="Y441" s="862">
        <f t="shared" si="118"/>
        <v>104679876508</v>
      </c>
    </row>
    <row r="442" spans="1:25" ht="15" customHeight="1">
      <c r="A442" s="870"/>
      <c r="B442" s="887" t="s">
        <v>1569</v>
      </c>
      <c r="C442" s="876"/>
      <c r="D442" s="870" t="s">
        <v>825</v>
      </c>
      <c r="E442" s="870">
        <v>7068810</v>
      </c>
      <c r="F442" s="862">
        <v>407960000000</v>
      </c>
      <c r="G442" s="862">
        <v>300026722800</v>
      </c>
      <c r="H442" s="862"/>
      <c r="I442" s="862"/>
      <c r="J442" s="862"/>
      <c r="K442" s="862">
        <v>62243000000</v>
      </c>
      <c r="L442" s="862">
        <v>48246943500</v>
      </c>
      <c r="M442" s="862">
        <v>46653393500</v>
      </c>
      <c r="N442" s="862">
        <v>1593550000</v>
      </c>
      <c r="O442" s="862"/>
      <c r="P442" s="862"/>
      <c r="Q442" s="862"/>
      <c r="R442" s="862"/>
      <c r="S442" s="862"/>
      <c r="T442" s="862"/>
      <c r="U442" s="862"/>
      <c r="V442" s="862"/>
      <c r="W442" s="862">
        <f t="shared" si="116"/>
        <v>46653393500</v>
      </c>
      <c r="X442" s="862">
        <f t="shared" si="117"/>
        <v>1593550000</v>
      </c>
      <c r="Y442" s="862">
        <f t="shared" si="118"/>
        <v>348273666300</v>
      </c>
    </row>
    <row r="443" spans="1:25" ht="24.95" customHeight="1">
      <c r="A443" s="870"/>
      <c r="B443" s="887" t="s">
        <v>1102</v>
      </c>
      <c r="C443" s="876"/>
      <c r="D443" s="870" t="s">
        <v>825</v>
      </c>
      <c r="E443" s="870">
        <v>7002173</v>
      </c>
      <c r="F443" s="862">
        <v>125550000000</v>
      </c>
      <c r="G443" s="862">
        <v>44713933000</v>
      </c>
      <c r="H443" s="862"/>
      <c r="I443" s="862"/>
      <c r="J443" s="862"/>
      <c r="K443" s="862">
        <v>45390000000</v>
      </c>
      <c r="L443" s="862">
        <v>45390000000</v>
      </c>
      <c r="M443" s="862">
        <v>33982500000</v>
      </c>
      <c r="N443" s="862">
        <v>11407500000</v>
      </c>
      <c r="O443" s="862"/>
      <c r="P443" s="862"/>
      <c r="Q443" s="862"/>
      <c r="R443" s="862"/>
      <c r="S443" s="862"/>
      <c r="T443" s="862"/>
      <c r="U443" s="862"/>
      <c r="V443" s="862"/>
      <c r="W443" s="862">
        <f t="shared" si="116"/>
        <v>33982500000</v>
      </c>
      <c r="X443" s="862">
        <f t="shared" si="117"/>
        <v>11407500000</v>
      </c>
      <c r="Y443" s="862">
        <f t="shared" si="118"/>
        <v>90103933000</v>
      </c>
    </row>
    <row r="444" spans="1:25" ht="15" customHeight="1">
      <c r="A444" s="879" t="s">
        <v>325</v>
      </c>
      <c r="B444" s="885" t="s">
        <v>439</v>
      </c>
      <c r="C444" s="880"/>
      <c r="D444" s="870"/>
      <c r="E444" s="879"/>
      <c r="F444" s="862">
        <v>0</v>
      </c>
      <c r="G444" s="862"/>
      <c r="H444" s="886"/>
      <c r="I444" s="886"/>
      <c r="J444" s="886"/>
      <c r="K444" s="886"/>
      <c r="L444" s="886"/>
      <c r="M444" s="886"/>
      <c r="N444" s="886"/>
      <c r="O444" s="886"/>
      <c r="P444" s="886"/>
      <c r="Q444" s="886"/>
      <c r="R444" s="862">
        <f t="shared" si="107"/>
        <v>0</v>
      </c>
      <c r="S444" s="886"/>
      <c r="T444" s="886"/>
      <c r="U444" s="886"/>
      <c r="V444" s="886"/>
      <c r="W444" s="862">
        <f t="shared" si="116"/>
        <v>0</v>
      </c>
      <c r="X444" s="862">
        <f t="shared" si="117"/>
        <v>0</v>
      </c>
      <c r="Y444" s="862">
        <f t="shared" si="118"/>
        <v>0</v>
      </c>
    </row>
    <row r="445" spans="1:25" s="512" customFormat="1" ht="24.95" customHeight="1">
      <c r="A445" s="879" t="s">
        <v>326</v>
      </c>
      <c r="B445" s="885" t="s">
        <v>1103</v>
      </c>
      <c r="C445" s="880"/>
      <c r="D445" s="879"/>
      <c r="E445" s="879"/>
      <c r="F445" s="886"/>
      <c r="G445" s="886"/>
      <c r="H445" s="886"/>
      <c r="I445" s="886"/>
      <c r="J445" s="886"/>
      <c r="K445" s="886">
        <f>SUM(K446:K459)</f>
        <v>2033000000</v>
      </c>
      <c r="L445" s="886">
        <f t="shared" ref="L445:Y445" si="140">SUM(L446:L459)</f>
        <v>1547710759</v>
      </c>
      <c r="M445" s="886">
        <f t="shared" si="140"/>
        <v>1547710759</v>
      </c>
      <c r="N445" s="886">
        <f t="shared" si="140"/>
        <v>0</v>
      </c>
      <c r="O445" s="886">
        <f t="shared" si="140"/>
        <v>0</v>
      </c>
      <c r="P445" s="886">
        <f t="shared" si="140"/>
        <v>485289241</v>
      </c>
      <c r="Q445" s="886">
        <f t="shared" si="140"/>
        <v>0</v>
      </c>
      <c r="R445" s="886">
        <f t="shared" si="140"/>
        <v>0</v>
      </c>
      <c r="S445" s="886">
        <f t="shared" si="140"/>
        <v>0</v>
      </c>
      <c r="T445" s="886">
        <f t="shared" si="140"/>
        <v>0</v>
      </c>
      <c r="U445" s="886">
        <f t="shared" si="140"/>
        <v>0</v>
      </c>
      <c r="V445" s="886">
        <f t="shared" si="140"/>
        <v>0</v>
      </c>
      <c r="W445" s="886">
        <f t="shared" si="140"/>
        <v>1547710759</v>
      </c>
      <c r="X445" s="886">
        <f t="shared" si="140"/>
        <v>0</v>
      </c>
      <c r="Y445" s="886">
        <f t="shared" si="140"/>
        <v>0</v>
      </c>
    </row>
    <row r="446" spans="1:25" ht="24.95" customHeight="1">
      <c r="A446" s="870"/>
      <c r="B446" s="887" t="s">
        <v>1104</v>
      </c>
      <c r="C446" s="876"/>
      <c r="D446" s="870"/>
      <c r="E446" s="870" t="s">
        <v>1105</v>
      </c>
      <c r="F446" s="862"/>
      <c r="G446" s="862"/>
      <c r="H446" s="862"/>
      <c r="I446" s="862"/>
      <c r="J446" s="862"/>
      <c r="K446" s="862">
        <v>133000000</v>
      </c>
      <c r="L446" s="862">
        <f>SUM(M446:N446)</f>
        <v>133000000</v>
      </c>
      <c r="M446" s="862">
        <v>133000000</v>
      </c>
      <c r="N446" s="862"/>
      <c r="O446" s="862"/>
      <c r="P446" s="862">
        <f>K446-L446-O446</f>
        <v>0</v>
      </c>
      <c r="Q446" s="862"/>
      <c r="R446" s="862"/>
      <c r="S446" s="862"/>
      <c r="T446" s="862"/>
      <c r="U446" s="862"/>
      <c r="V446" s="862"/>
      <c r="W446" s="862">
        <f>J446+M446+S446</f>
        <v>133000000</v>
      </c>
      <c r="X446" s="862"/>
      <c r="Y446" s="862"/>
    </row>
    <row r="447" spans="1:25" ht="24.95" customHeight="1">
      <c r="A447" s="870"/>
      <c r="B447" s="887" t="s">
        <v>1106</v>
      </c>
      <c r="C447" s="876"/>
      <c r="D447" s="870"/>
      <c r="E447" s="870" t="s">
        <v>1107</v>
      </c>
      <c r="F447" s="862"/>
      <c r="G447" s="862"/>
      <c r="H447" s="862"/>
      <c r="I447" s="862"/>
      <c r="J447" s="862"/>
      <c r="K447" s="862">
        <v>384000000</v>
      </c>
      <c r="L447" s="862">
        <f t="shared" ref="L447:L459" si="141">SUM(M447:N447)</f>
        <v>384000000</v>
      </c>
      <c r="M447" s="862">
        <v>384000000</v>
      </c>
      <c r="N447" s="862"/>
      <c r="O447" s="862"/>
      <c r="P447" s="862">
        <f t="shared" ref="P447:P459" si="142">K447-L447-O447</f>
        <v>0</v>
      </c>
      <c r="Q447" s="862"/>
      <c r="R447" s="862"/>
      <c r="S447" s="862"/>
      <c r="T447" s="862"/>
      <c r="U447" s="862"/>
      <c r="V447" s="862"/>
      <c r="W447" s="862">
        <f t="shared" ref="W447:W459" si="143">J447+M447+S447</f>
        <v>384000000</v>
      </c>
      <c r="X447" s="862"/>
      <c r="Y447" s="862"/>
    </row>
    <row r="448" spans="1:25" ht="24.95" customHeight="1">
      <c r="A448" s="870"/>
      <c r="B448" s="887" t="s">
        <v>1108</v>
      </c>
      <c r="C448" s="876"/>
      <c r="D448" s="870"/>
      <c r="E448" s="870" t="s">
        <v>1109</v>
      </c>
      <c r="F448" s="862"/>
      <c r="G448" s="862"/>
      <c r="H448" s="862"/>
      <c r="I448" s="862"/>
      <c r="J448" s="862"/>
      <c r="K448" s="862">
        <v>100000000</v>
      </c>
      <c r="L448" s="862">
        <f t="shared" si="141"/>
        <v>88552000</v>
      </c>
      <c r="M448" s="862">
        <v>88552000</v>
      </c>
      <c r="N448" s="862"/>
      <c r="O448" s="862"/>
      <c r="P448" s="862">
        <f t="shared" si="142"/>
        <v>11448000</v>
      </c>
      <c r="Q448" s="862"/>
      <c r="R448" s="862"/>
      <c r="S448" s="862"/>
      <c r="T448" s="862"/>
      <c r="U448" s="862"/>
      <c r="V448" s="862"/>
      <c r="W448" s="862">
        <f t="shared" si="143"/>
        <v>88552000</v>
      </c>
      <c r="X448" s="862"/>
      <c r="Y448" s="862"/>
    </row>
    <row r="449" spans="1:25" ht="24.95" customHeight="1">
      <c r="A449" s="870"/>
      <c r="B449" s="887" t="s">
        <v>1110</v>
      </c>
      <c r="C449" s="876"/>
      <c r="D449" s="870"/>
      <c r="E449" s="870" t="s">
        <v>1111</v>
      </c>
      <c r="F449" s="862"/>
      <c r="G449" s="862"/>
      <c r="H449" s="862"/>
      <c r="I449" s="862"/>
      <c r="J449" s="862"/>
      <c r="K449" s="862">
        <v>107000000</v>
      </c>
      <c r="L449" s="862">
        <f t="shared" si="141"/>
        <v>106948000</v>
      </c>
      <c r="M449" s="862">
        <v>106948000</v>
      </c>
      <c r="N449" s="862"/>
      <c r="O449" s="862"/>
      <c r="P449" s="862">
        <f t="shared" si="142"/>
        <v>52000</v>
      </c>
      <c r="Q449" s="862"/>
      <c r="R449" s="862"/>
      <c r="S449" s="862"/>
      <c r="T449" s="862"/>
      <c r="U449" s="862"/>
      <c r="V449" s="862"/>
      <c r="W449" s="862">
        <f t="shared" si="143"/>
        <v>106948000</v>
      </c>
      <c r="X449" s="862"/>
      <c r="Y449" s="862"/>
    </row>
    <row r="450" spans="1:25" ht="24.95" customHeight="1">
      <c r="A450" s="870"/>
      <c r="B450" s="887" t="s">
        <v>1112</v>
      </c>
      <c r="C450" s="876"/>
      <c r="D450" s="870"/>
      <c r="E450" s="870" t="s">
        <v>1113</v>
      </c>
      <c r="F450" s="862"/>
      <c r="G450" s="862"/>
      <c r="H450" s="862"/>
      <c r="I450" s="862"/>
      <c r="J450" s="862"/>
      <c r="K450" s="862">
        <v>177000000</v>
      </c>
      <c r="L450" s="862">
        <f t="shared" si="141"/>
        <v>177000000</v>
      </c>
      <c r="M450" s="862">
        <v>177000000</v>
      </c>
      <c r="N450" s="862"/>
      <c r="O450" s="862"/>
      <c r="P450" s="862">
        <f t="shared" si="142"/>
        <v>0</v>
      </c>
      <c r="Q450" s="862"/>
      <c r="R450" s="862"/>
      <c r="S450" s="862"/>
      <c r="T450" s="862"/>
      <c r="U450" s="862"/>
      <c r="V450" s="862"/>
      <c r="W450" s="862">
        <f t="shared" si="143"/>
        <v>177000000</v>
      </c>
      <c r="X450" s="862"/>
      <c r="Y450" s="862"/>
    </row>
    <row r="451" spans="1:25" ht="24.95" customHeight="1">
      <c r="A451" s="870"/>
      <c r="B451" s="887" t="s">
        <v>1114</v>
      </c>
      <c r="C451" s="876"/>
      <c r="D451" s="870"/>
      <c r="E451" s="870" t="s">
        <v>1115</v>
      </c>
      <c r="F451" s="862"/>
      <c r="G451" s="862"/>
      <c r="H451" s="862"/>
      <c r="I451" s="862"/>
      <c r="J451" s="862"/>
      <c r="K451" s="862">
        <v>49000000</v>
      </c>
      <c r="L451" s="862">
        <f t="shared" si="141"/>
        <v>49000000</v>
      </c>
      <c r="M451" s="862">
        <v>49000000</v>
      </c>
      <c r="N451" s="862"/>
      <c r="O451" s="862"/>
      <c r="P451" s="862">
        <f t="shared" si="142"/>
        <v>0</v>
      </c>
      <c r="Q451" s="862"/>
      <c r="R451" s="862"/>
      <c r="S451" s="862"/>
      <c r="T451" s="862"/>
      <c r="U451" s="862"/>
      <c r="V451" s="862"/>
      <c r="W451" s="862">
        <f t="shared" si="143"/>
        <v>49000000</v>
      </c>
      <c r="X451" s="862"/>
      <c r="Y451" s="862"/>
    </row>
    <row r="452" spans="1:25" ht="24.95" customHeight="1">
      <c r="A452" s="870"/>
      <c r="B452" s="887" t="s">
        <v>1116</v>
      </c>
      <c r="C452" s="876"/>
      <c r="D452" s="870"/>
      <c r="E452" s="870" t="s">
        <v>1117</v>
      </c>
      <c r="F452" s="862"/>
      <c r="G452" s="862"/>
      <c r="H452" s="862"/>
      <c r="I452" s="862"/>
      <c r="J452" s="862"/>
      <c r="K452" s="862">
        <v>411000000</v>
      </c>
      <c r="L452" s="862">
        <f t="shared" si="141"/>
        <v>24152000</v>
      </c>
      <c r="M452" s="862">
        <v>24152000</v>
      </c>
      <c r="N452" s="862"/>
      <c r="O452" s="862"/>
      <c r="P452" s="862">
        <f t="shared" si="142"/>
        <v>386848000</v>
      </c>
      <c r="Q452" s="862"/>
      <c r="R452" s="862"/>
      <c r="S452" s="862"/>
      <c r="T452" s="862"/>
      <c r="U452" s="862"/>
      <c r="V452" s="862"/>
      <c r="W452" s="862">
        <f t="shared" si="143"/>
        <v>24152000</v>
      </c>
      <c r="X452" s="862"/>
      <c r="Y452" s="862"/>
    </row>
    <row r="453" spans="1:25" ht="24.95" customHeight="1">
      <c r="A453" s="870"/>
      <c r="B453" s="887" t="s">
        <v>1118</v>
      </c>
      <c r="C453" s="876"/>
      <c r="D453" s="870"/>
      <c r="E453" s="870" t="s">
        <v>1119</v>
      </c>
      <c r="F453" s="862"/>
      <c r="G453" s="862"/>
      <c r="H453" s="862"/>
      <c r="I453" s="862"/>
      <c r="J453" s="862"/>
      <c r="K453" s="862">
        <v>137000000</v>
      </c>
      <c r="L453" s="862">
        <f t="shared" si="141"/>
        <v>136931000</v>
      </c>
      <c r="M453" s="862">
        <v>136931000</v>
      </c>
      <c r="N453" s="862"/>
      <c r="O453" s="862"/>
      <c r="P453" s="862">
        <f t="shared" si="142"/>
        <v>69000</v>
      </c>
      <c r="Q453" s="862"/>
      <c r="R453" s="862"/>
      <c r="S453" s="862"/>
      <c r="T453" s="862"/>
      <c r="U453" s="862"/>
      <c r="V453" s="862"/>
      <c r="W453" s="862">
        <f>J453+M453+S453</f>
        <v>136931000</v>
      </c>
      <c r="X453" s="862"/>
      <c r="Y453" s="862"/>
    </row>
    <row r="454" spans="1:25" ht="24.95" customHeight="1">
      <c r="A454" s="870"/>
      <c r="B454" s="887" t="s">
        <v>1120</v>
      </c>
      <c r="C454" s="876"/>
      <c r="D454" s="870"/>
      <c r="E454" s="870" t="s">
        <v>1121</v>
      </c>
      <c r="F454" s="862"/>
      <c r="G454" s="862"/>
      <c r="H454" s="862"/>
      <c r="I454" s="862"/>
      <c r="J454" s="862"/>
      <c r="K454" s="862">
        <v>35000000</v>
      </c>
      <c r="L454" s="862">
        <f t="shared" si="141"/>
        <v>35000000</v>
      </c>
      <c r="M454" s="862">
        <v>35000000</v>
      </c>
      <c r="N454" s="862"/>
      <c r="O454" s="862"/>
      <c r="P454" s="862">
        <f t="shared" si="142"/>
        <v>0</v>
      </c>
      <c r="Q454" s="862"/>
      <c r="R454" s="862"/>
      <c r="S454" s="862"/>
      <c r="T454" s="862"/>
      <c r="U454" s="862"/>
      <c r="V454" s="862"/>
      <c r="W454" s="862">
        <f t="shared" si="143"/>
        <v>35000000</v>
      </c>
      <c r="X454" s="862"/>
      <c r="Y454" s="862"/>
    </row>
    <row r="455" spans="1:25" ht="24.95" customHeight="1">
      <c r="A455" s="870"/>
      <c r="B455" s="887" t="s">
        <v>1122</v>
      </c>
      <c r="C455" s="876"/>
      <c r="D455" s="870"/>
      <c r="E455" s="870" t="s">
        <v>1123</v>
      </c>
      <c r="F455" s="862"/>
      <c r="G455" s="862"/>
      <c r="H455" s="862"/>
      <c r="I455" s="862"/>
      <c r="J455" s="862"/>
      <c r="K455" s="862">
        <v>169000000</v>
      </c>
      <c r="L455" s="862">
        <f t="shared" si="141"/>
        <v>168666000</v>
      </c>
      <c r="M455" s="862">
        <v>168666000</v>
      </c>
      <c r="N455" s="862"/>
      <c r="O455" s="862"/>
      <c r="P455" s="862">
        <f t="shared" si="142"/>
        <v>334000</v>
      </c>
      <c r="Q455" s="862"/>
      <c r="R455" s="862"/>
      <c r="S455" s="862"/>
      <c r="T455" s="862"/>
      <c r="U455" s="862"/>
      <c r="V455" s="862"/>
      <c r="W455" s="862">
        <f t="shared" si="143"/>
        <v>168666000</v>
      </c>
      <c r="X455" s="862"/>
      <c r="Y455" s="862"/>
    </row>
    <row r="456" spans="1:25" ht="24.95" customHeight="1">
      <c r="A456" s="870"/>
      <c r="B456" s="887" t="s">
        <v>1124</v>
      </c>
      <c r="C456" s="876"/>
      <c r="D456" s="870"/>
      <c r="E456" s="870" t="s">
        <v>1125</v>
      </c>
      <c r="F456" s="862"/>
      <c r="G456" s="862"/>
      <c r="H456" s="862"/>
      <c r="I456" s="862"/>
      <c r="J456" s="862"/>
      <c r="K456" s="862">
        <v>48000000</v>
      </c>
      <c r="L456" s="862">
        <f t="shared" si="141"/>
        <v>0</v>
      </c>
      <c r="M456" s="862">
        <v>0</v>
      </c>
      <c r="N456" s="862"/>
      <c r="O456" s="862"/>
      <c r="P456" s="862">
        <f t="shared" si="142"/>
        <v>48000000</v>
      </c>
      <c r="Q456" s="862"/>
      <c r="R456" s="862"/>
      <c r="S456" s="862"/>
      <c r="T456" s="862"/>
      <c r="U456" s="862"/>
      <c r="V456" s="862"/>
      <c r="W456" s="862">
        <f t="shared" si="143"/>
        <v>0</v>
      </c>
      <c r="X456" s="862"/>
      <c r="Y456" s="862"/>
    </row>
    <row r="457" spans="1:25" ht="24.95" customHeight="1">
      <c r="A457" s="870"/>
      <c r="B457" s="887" t="s">
        <v>1126</v>
      </c>
      <c r="C457" s="876"/>
      <c r="D457" s="870"/>
      <c r="E457" s="870" t="s">
        <v>1127</v>
      </c>
      <c r="F457" s="862"/>
      <c r="G457" s="862"/>
      <c r="H457" s="862"/>
      <c r="I457" s="862"/>
      <c r="J457" s="862"/>
      <c r="K457" s="862">
        <v>223000000</v>
      </c>
      <c r="L457" s="862">
        <f t="shared" si="141"/>
        <v>202461759</v>
      </c>
      <c r="M457" s="862">
        <v>202461759</v>
      </c>
      <c r="N457" s="862"/>
      <c r="O457" s="862"/>
      <c r="P457" s="862">
        <f t="shared" si="142"/>
        <v>20538241</v>
      </c>
      <c r="Q457" s="862"/>
      <c r="R457" s="862"/>
      <c r="S457" s="862"/>
      <c r="T457" s="862"/>
      <c r="U457" s="862"/>
      <c r="V457" s="862"/>
      <c r="W457" s="862">
        <f t="shared" si="143"/>
        <v>202461759</v>
      </c>
      <c r="X457" s="862"/>
      <c r="Y457" s="862"/>
    </row>
    <row r="458" spans="1:25" ht="24.95" customHeight="1">
      <c r="A458" s="870"/>
      <c r="B458" s="887" t="s">
        <v>1128</v>
      </c>
      <c r="C458" s="876"/>
      <c r="D458" s="870"/>
      <c r="E458" s="870" t="s">
        <v>1129</v>
      </c>
      <c r="F458" s="862"/>
      <c r="G458" s="862"/>
      <c r="H458" s="862"/>
      <c r="I458" s="862"/>
      <c r="J458" s="862"/>
      <c r="K458" s="862">
        <v>18000000</v>
      </c>
      <c r="L458" s="862">
        <f t="shared" si="141"/>
        <v>0</v>
      </c>
      <c r="M458" s="862">
        <v>0</v>
      </c>
      <c r="N458" s="862"/>
      <c r="O458" s="862"/>
      <c r="P458" s="862">
        <f>K458-L458-O458</f>
        <v>18000000</v>
      </c>
      <c r="Q458" s="862"/>
      <c r="R458" s="862"/>
      <c r="S458" s="862"/>
      <c r="T458" s="862"/>
      <c r="U458" s="862"/>
      <c r="V458" s="862"/>
      <c r="W458" s="862">
        <f>J458+M458+S458</f>
        <v>0</v>
      </c>
      <c r="X458" s="862"/>
      <c r="Y458" s="862"/>
    </row>
    <row r="459" spans="1:25" ht="24.95" customHeight="1">
      <c r="A459" s="870"/>
      <c r="B459" s="887" t="s">
        <v>1130</v>
      </c>
      <c r="C459" s="876"/>
      <c r="D459" s="870"/>
      <c r="E459" s="870" t="s">
        <v>1131</v>
      </c>
      <c r="F459" s="862"/>
      <c r="G459" s="862"/>
      <c r="H459" s="862"/>
      <c r="I459" s="862"/>
      <c r="J459" s="862"/>
      <c r="K459" s="862">
        <v>42000000</v>
      </c>
      <c r="L459" s="862">
        <f t="shared" si="141"/>
        <v>42000000</v>
      </c>
      <c r="M459" s="862">
        <v>42000000</v>
      </c>
      <c r="N459" s="862"/>
      <c r="O459" s="862"/>
      <c r="P459" s="862">
        <f t="shared" si="142"/>
        <v>0</v>
      </c>
      <c r="Q459" s="862"/>
      <c r="R459" s="862"/>
      <c r="S459" s="862"/>
      <c r="T459" s="862"/>
      <c r="U459" s="862"/>
      <c r="V459" s="862"/>
      <c r="W459" s="862">
        <f t="shared" si="143"/>
        <v>42000000</v>
      </c>
      <c r="X459" s="862"/>
      <c r="Y459" s="862"/>
    </row>
    <row r="460" spans="1:25" ht="15" customHeight="1">
      <c r="A460" s="871">
        <v>5</v>
      </c>
      <c r="B460" s="883" t="s">
        <v>819</v>
      </c>
      <c r="C460" s="875"/>
      <c r="D460" s="870"/>
      <c r="E460" s="871"/>
      <c r="F460" s="862">
        <v>0</v>
      </c>
      <c r="G460" s="862"/>
      <c r="H460" s="884"/>
      <c r="I460" s="884"/>
      <c r="J460" s="884"/>
      <c r="K460" s="884"/>
      <c r="L460" s="884"/>
      <c r="M460" s="884"/>
      <c r="N460" s="884"/>
      <c r="O460" s="884"/>
      <c r="P460" s="884"/>
      <c r="Q460" s="884"/>
      <c r="R460" s="862">
        <f t="shared" si="107"/>
        <v>0</v>
      </c>
      <c r="S460" s="884"/>
      <c r="T460" s="884"/>
      <c r="U460" s="884"/>
      <c r="V460" s="884"/>
      <c r="W460" s="862">
        <f t="shared" si="116"/>
        <v>0</v>
      </c>
      <c r="X460" s="862">
        <f t="shared" si="117"/>
        <v>0</v>
      </c>
      <c r="Y460" s="862">
        <f t="shared" si="118"/>
        <v>0</v>
      </c>
    </row>
    <row r="461" spans="1:25" ht="32.1" customHeight="1">
      <c r="A461" s="871">
        <v>6</v>
      </c>
      <c r="B461" s="883" t="s">
        <v>1132</v>
      </c>
      <c r="C461" s="875"/>
      <c r="D461" s="870"/>
      <c r="E461" s="871"/>
      <c r="F461" s="884">
        <f>F462+F466</f>
        <v>1113876000000</v>
      </c>
      <c r="G461" s="884">
        <f t="shared" ref="G461:Y461" si="144">G462+G466</f>
        <v>376643244948</v>
      </c>
      <c r="H461" s="884">
        <f t="shared" si="144"/>
        <v>0</v>
      </c>
      <c r="I461" s="884">
        <f t="shared" si="144"/>
        <v>0</v>
      </c>
      <c r="J461" s="884">
        <f t="shared" si="144"/>
        <v>0</v>
      </c>
      <c r="K461" s="884">
        <f t="shared" si="144"/>
        <v>10000000000</v>
      </c>
      <c r="L461" s="884">
        <f t="shared" si="144"/>
        <v>9999423000</v>
      </c>
      <c r="M461" s="884">
        <f t="shared" si="144"/>
        <v>0</v>
      </c>
      <c r="N461" s="884">
        <f t="shared" si="144"/>
        <v>9999423000</v>
      </c>
      <c r="O461" s="884">
        <f t="shared" si="144"/>
        <v>0</v>
      </c>
      <c r="P461" s="884">
        <f t="shared" si="144"/>
        <v>0</v>
      </c>
      <c r="Q461" s="884">
        <f t="shared" si="144"/>
        <v>85000000000</v>
      </c>
      <c r="R461" s="884">
        <f t="shared" si="144"/>
        <v>85000000000</v>
      </c>
      <c r="S461" s="884">
        <f t="shared" si="144"/>
        <v>16775604448</v>
      </c>
      <c r="T461" s="884">
        <f t="shared" si="144"/>
        <v>68224395552</v>
      </c>
      <c r="U461" s="884">
        <f t="shared" si="144"/>
        <v>0</v>
      </c>
      <c r="V461" s="884">
        <f t="shared" si="144"/>
        <v>0</v>
      </c>
      <c r="W461" s="884">
        <f>W462+W466</f>
        <v>16775604448</v>
      </c>
      <c r="X461" s="884">
        <f t="shared" si="144"/>
        <v>78223818552</v>
      </c>
      <c r="Y461" s="884">
        <f t="shared" si="144"/>
        <v>471642667948</v>
      </c>
    </row>
    <row r="462" spans="1:25" ht="32.1" customHeight="1">
      <c r="A462" s="870"/>
      <c r="B462" s="933" t="s">
        <v>1133</v>
      </c>
      <c r="C462" s="876"/>
      <c r="D462" s="870"/>
      <c r="E462" s="929"/>
      <c r="F462" s="891">
        <f>SUM(F464:F465)</f>
        <v>1041888000000</v>
      </c>
      <c r="G462" s="891">
        <f t="shared" ref="G462:Y462" si="145">SUM(G464:G465)</f>
        <v>357978321000</v>
      </c>
      <c r="H462" s="891">
        <f t="shared" si="145"/>
        <v>0</v>
      </c>
      <c r="I462" s="891">
        <f t="shared" si="145"/>
        <v>0</v>
      </c>
      <c r="J462" s="891">
        <f t="shared" si="145"/>
        <v>0</v>
      </c>
      <c r="K462" s="891">
        <f t="shared" si="145"/>
        <v>0</v>
      </c>
      <c r="L462" s="891">
        <f t="shared" si="145"/>
        <v>0</v>
      </c>
      <c r="M462" s="891">
        <f t="shared" si="145"/>
        <v>0</v>
      </c>
      <c r="N462" s="891">
        <f t="shared" si="145"/>
        <v>0</v>
      </c>
      <c r="O462" s="891">
        <f t="shared" si="145"/>
        <v>0</v>
      </c>
      <c r="P462" s="891">
        <f t="shared" si="145"/>
        <v>0</v>
      </c>
      <c r="Q462" s="891">
        <f t="shared" si="145"/>
        <v>85000000000</v>
      </c>
      <c r="R462" s="891">
        <f t="shared" si="145"/>
        <v>85000000000</v>
      </c>
      <c r="S462" s="891">
        <f t="shared" si="145"/>
        <v>16775604448</v>
      </c>
      <c r="T462" s="891">
        <f t="shared" si="145"/>
        <v>68224395552</v>
      </c>
      <c r="U462" s="891">
        <f t="shared" si="145"/>
        <v>0</v>
      </c>
      <c r="V462" s="891">
        <f t="shared" si="145"/>
        <v>0</v>
      </c>
      <c r="W462" s="891">
        <f>SUM(W464:W465)</f>
        <v>16775604448</v>
      </c>
      <c r="X462" s="891">
        <f t="shared" si="145"/>
        <v>68224395552</v>
      </c>
      <c r="Y462" s="891">
        <f t="shared" si="145"/>
        <v>442978321000</v>
      </c>
    </row>
    <row r="463" spans="1:25" s="512" customFormat="1" ht="15" customHeight="1">
      <c r="A463" s="888"/>
      <c r="B463" s="889" t="s">
        <v>1134</v>
      </c>
      <c r="C463" s="890"/>
      <c r="D463" s="870"/>
      <c r="E463" s="888"/>
      <c r="F463" s="862">
        <v>0</v>
      </c>
      <c r="G463" s="862"/>
      <c r="H463" s="891"/>
      <c r="I463" s="891"/>
      <c r="J463" s="891"/>
      <c r="K463" s="891"/>
      <c r="L463" s="891"/>
      <c r="M463" s="891"/>
      <c r="N463" s="891"/>
      <c r="O463" s="891"/>
      <c r="P463" s="891"/>
      <c r="Q463" s="891"/>
      <c r="R463" s="891"/>
      <c r="S463" s="891"/>
      <c r="T463" s="891"/>
      <c r="U463" s="891"/>
      <c r="V463" s="891"/>
      <c r="W463" s="862">
        <f t="shared" si="116"/>
        <v>0</v>
      </c>
      <c r="X463" s="862">
        <f t="shared" si="117"/>
        <v>0</v>
      </c>
      <c r="Y463" s="862">
        <f t="shared" si="118"/>
        <v>0</v>
      </c>
    </row>
    <row r="464" spans="1:25" s="509" customFormat="1" ht="24.95" customHeight="1">
      <c r="A464" s="870"/>
      <c r="B464" s="865" t="s">
        <v>1135</v>
      </c>
      <c r="C464" s="870"/>
      <c r="D464" s="870" t="s">
        <v>825</v>
      </c>
      <c r="E464" s="863">
        <v>7560286</v>
      </c>
      <c r="F464" s="862">
        <v>119888000000</v>
      </c>
      <c r="G464" s="862">
        <v>7370000000</v>
      </c>
      <c r="H464" s="862"/>
      <c r="I464" s="862"/>
      <c r="J464" s="862"/>
      <c r="K464" s="862"/>
      <c r="L464" s="862"/>
      <c r="M464" s="862"/>
      <c r="N464" s="862"/>
      <c r="O464" s="862"/>
      <c r="P464" s="862"/>
      <c r="Q464" s="862">
        <v>50000000000</v>
      </c>
      <c r="R464" s="862">
        <v>50000000000</v>
      </c>
      <c r="S464" s="862">
        <v>7663820000</v>
      </c>
      <c r="T464" s="862">
        <f>R464-S464</f>
        <v>42336180000</v>
      </c>
      <c r="U464" s="862"/>
      <c r="V464" s="862"/>
      <c r="W464" s="862">
        <f t="shared" si="116"/>
        <v>7663820000</v>
      </c>
      <c r="X464" s="862">
        <f t="shared" si="117"/>
        <v>42336180000</v>
      </c>
      <c r="Y464" s="862">
        <f t="shared" si="118"/>
        <v>57370000000</v>
      </c>
    </row>
    <row r="465" spans="1:25" s="509" customFormat="1" ht="24.95" customHeight="1">
      <c r="A465" s="870"/>
      <c r="B465" s="865" t="s">
        <v>639</v>
      </c>
      <c r="C465" s="870"/>
      <c r="D465" s="870" t="s">
        <v>825</v>
      </c>
      <c r="E465" s="863">
        <v>7189107</v>
      </c>
      <c r="F465" s="862">
        <v>922000000000</v>
      </c>
      <c r="G465" s="862">
        <v>350608321000</v>
      </c>
      <c r="H465" s="862"/>
      <c r="I465" s="862"/>
      <c r="J465" s="862"/>
      <c r="K465" s="862"/>
      <c r="L465" s="862"/>
      <c r="M465" s="862"/>
      <c r="N465" s="862"/>
      <c r="O465" s="862"/>
      <c r="P465" s="862"/>
      <c r="Q465" s="862">
        <v>35000000000</v>
      </c>
      <c r="R465" s="862">
        <v>35000000000</v>
      </c>
      <c r="S465" s="862">
        <v>9111784448</v>
      </c>
      <c r="T465" s="862">
        <f t="shared" ref="T465" si="146">R465-S465</f>
        <v>25888215552</v>
      </c>
      <c r="U465" s="862"/>
      <c r="V465" s="862"/>
      <c r="W465" s="862">
        <f t="shared" si="116"/>
        <v>9111784448</v>
      </c>
      <c r="X465" s="862">
        <f t="shared" si="117"/>
        <v>25888215552</v>
      </c>
      <c r="Y465" s="862">
        <f t="shared" si="118"/>
        <v>385608321000</v>
      </c>
    </row>
    <row r="466" spans="1:25" ht="32.1" customHeight="1">
      <c r="A466" s="870"/>
      <c r="B466" s="933" t="s">
        <v>1136</v>
      </c>
      <c r="C466" s="876"/>
      <c r="D466" s="870"/>
      <c r="E466" s="863"/>
      <c r="F466" s="891">
        <f>SUM(F467)</f>
        <v>71988000000</v>
      </c>
      <c r="G466" s="891">
        <f t="shared" ref="G466:Y466" si="147">SUM(G467)</f>
        <v>18664923948</v>
      </c>
      <c r="H466" s="891">
        <f t="shared" si="147"/>
        <v>0</v>
      </c>
      <c r="I466" s="891">
        <f t="shared" si="147"/>
        <v>0</v>
      </c>
      <c r="J466" s="891">
        <f t="shared" si="147"/>
        <v>0</v>
      </c>
      <c r="K466" s="891">
        <f t="shared" si="147"/>
        <v>10000000000</v>
      </c>
      <c r="L466" s="891">
        <f t="shared" si="147"/>
        <v>9999423000</v>
      </c>
      <c r="M466" s="891">
        <f t="shared" si="147"/>
        <v>0</v>
      </c>
      <c r="N466" s="891">
        <f t="shared" si="147"/>
        <v>9999423000</v>
      </c>
      <c r="O466" s="891">
        <f t="shared" si="147"/>
        <v>0</v>
      </c>
      <c r="P466" s="891">
        <f t="shared" si="147"/>
        <v>0</v>
      </c>
      <c r="Q466" s="891">
        <f t="shared" si="147"/>
        <v>0</v>
      </c>
      <c r="R466" s="891">
        <f t="shared" si="147"/>
        <v>0</v>
      </c>
      <c r="S466" s="891">
        <f t="shared" si="147"/>
        <v>0</v>
      </c>
      <c r="T466" s="891">
        <f t="shared" si="147"/>
        <v>0</v>
      </c>
      <c r="U466" s="891">
        <f t="shared" si="147"/>
        <v>0</v>
      </c>
      <c r="V466" s="891">
        <f t="shared" si="147"/>
        <v>0</v>
      </c>
      <c r="W466" s="891">
        <f t="shared" si="147"/>
        <v>0</v>
      </c>
      <c r="X466" s="891">
        <f t="shared" si="147"/>
        <v>9999423000</v>
      </c>
      <c r="Y466" s="891">
        <f t="shared" si="147"/>
        <v>28664346948</v>
      </c>
    </row>
    <row r="467" spans="1:25" ht="24.95" customHeight="1">
      <c r="A467" s="870"/>
      <c r="B467" s="865" t="s">
        <v>1057</v>
      </c>
      <c r="C467" s="876" t="s">
        <v>1058</v>
      </c>
      <c r="D467" s="870" t="s">
        <v>825</v>
      </c>
      <c r="E467" s="863">
        <v>7567506</v>
      </c>
      <c r="F467" s="862">
        <v>71988000000</v>
      </c>
      <c r="G467" s="862">
        <v>18664923948</v>
      </c>
      <c r="H467" s="862"/>
      <c r="I467" s="862"/>
      <c r="J467" s="862"/>
      <c r="K467" s="862">
        <v>10000000000</v>
      </c>
      <c r="L467" s="862">
        <f>SUM(M467:N467)</f>
        <v>9999423000</v>
      </c>
      <c r="M467" s="862"/>
      <c r="N467" s="862">
        <v>9999423000</v>
      </c>
      <c r="O467" s="862"/>
      <c r="P467" s="862"/>
      <c r="Q467" s="862"/>
      <c r="R467" s="862"/>
      <c r="S467" s="862"/>
      <c r="T467" s="862"/>
      <c r="U467" s="862"/>
      <c r="V467" s="862"/>
      <c r="W467" s="862">
        <f t="shared" ref="W467:W530" si="148">J467+M467+S467</f>
        <v>0</v>
      </c>
      <c r="X467" s="862">
        <f t="shared" ref="X467:X530" si="149">H467-I467-J467+N467+T467</f>
        <v>9999423000</v>
      </c>
      <c r="Y467" s="862">
        <f t="shared" ref="Y467:Y530" si="150">G467+L467+R467</f>
        <v>28664346948</v>
      </c>
    </row>
    <row r="468" spans="1:25" s="515" customFormat="1" ht="15" customHeight="1">
      <c r="A468" s="871">
        <v>7</v>
      </c>
      <c r="B468" s="883" t="s">
        <v>822</v>
      </c>
      <c r="C468" s="875"/>
      <c r="D468" s="871"/>
      <c r="E468" s="871"/>
      <c r="F468" s="884">
        <f>SUM(F470:F472)</f>
        <v>59862000000</v>
      </c>
      <c r="G468" s="884">
        <f t="shared" ref="G468:Y468" si="151">SUM(G470:G472)</f>
        <v>34409643000</v>
      </c>
      <c r="H468" s="884">
        <f t="shared" si="151"/>
        <v>0</v>
      </c>
      <c r="I468" s="884">
        <f t="shared" si="151"/>
        <v>0</v>
      </c>
      <c r="J468" s="884">
        <f t="shared" si="151"/>
        <v>0</v>
      </c>
      <c r="K468" s="884">
        <f t="shared" si="151"/>
        <v>180000000</v>
      </c>
      <c r="L468" s="884">
        <f t="shared" si="151"/>
        <v>180000000</v>
      </c>
      <c r="M468" s="884">
        <f t="shared" si="151"/>
        <v>180000000</v>
      </c>
      <c r="N468" s="884">
        <f t="shared" si="151"/>
        <v>0</v>
      </c>
      <c r="O468" s="884">
        <f t="shared" si="151"/>
        <v>0</v>
      </c>
      <c r="P468" s="884">
        <f t="shared" si="151"/>
        <v>0</v>
      </c>
      <c r="Q468" s="884">
        <f t="shared" si="151"/>
        <v>9640000000</v>
      </c>
      <c r="R468" s="884">
        <f t="shared" si="151"/>
        <v>277367000</v>
      </c>
      <c r="S468" s="884">
        <f t="shared" si="151"/>
        <v>277367000</v>
      </c>
      <c r="T468" s="884">
        <f t="shared" si="151"/>
        <v>0</v>
      </c>
      <c r="U468" s="884">
        <f t="shared" si="151"/>
        <v>0</v>
      </c>
      <c r="V468" s="884">
        <f t="shared" si="151"/>
        <v>0</v>
      </c>
      <c r="W468" s="884">
        <f>SUM(W470:W472)</f>
        <v>457367000</v>
      </c>
      <c r="X468" s="884">
        <f t="shared" si="151"/>
        <v>0</v>
      </c>
      <c r="Y468" s="884">
        <f t="shared" si="151"/>
        <v>34867010000</v>
      </c>
    </row>
    <row r="469" spans="1:25" s="514" customFormat="1" ht="32.1" customHeight="1">
      <c r="A469" s="888"/>
      <c r="B469" s="889" t="s">
        <v>1137</v>
      </c>
      <c r="C469" s="890"/>
      <c r="D469" s="870"/>
      <c r="E469" s="888"/>
      <c r="F469" s="862"/>
      <c r="G469" s="862"/>
      <c r="H469" s="891"/>
      <c r="I469" s="891"/>
      <c r="J469" s="891"/>
      <c r="K469" s="891"/>
      <c r="L469" s="891"/>
      <c r="M469" s="891"/>
      <c r="N469" s="891"/>
      <c r="O469" s="891"/>
      <c r="P469" s="891"/>
      <c r="Q469" s="891"/>
      <c r="R469" s="891">
        <f t="shared" si="107"/>
        <v>0</v>
      </c>
      <c r="S469" s="891"/>
      <c r="T469" s="891"/>
      <c r="U469" s="891"/>
      <c r="V469" s="891"/>
      <c r="W469" s="862">
        <f t="shared" si="148"/>
        <v>0</v>
      </c>
      <c r="X469" s="862">
        <f t="shared" si="149"/>
        <v>0</v>
      </c>
      <c r="Y469" s="862">
        <f t="shared" si="150"/>
        <v>0</v>
      </c>
    </row>
    <row r="470" spans="1:25" ht="24.95" customHeight="1">
      <c r="A470" s="870"/>
      <c r="B470" s="887" t="s">
        <v>1460</v>
      </c>
      <c r="C470" s="876"/>
      <c r="D470" s="870" t="s">
        <v>825</v>
      </c>
      <c r="E470" s="870">
        <v>7004463</v>
      </c>
      <c r="F470" s="862">
        <v>45000000000</v>
      </c>
      <c r="G470" s="862">
        <v>34409643000</v>
      </c>
      <c r="H470" s="862"/>
      <c r="I470" s="862"/>
      <c r="J470" s="862"/>
      <c r="K470" s="862">
        <v>180000000</v>
      </c>
      <c r="L470" s="862">
        <v>180000000</v>
      </c>
      <c r="M470" s="862">
        <v>180000000</v>
      </c>
      <c r="N470" s="862">
        <v>0</v>
      </c>
      <c r="O470" s="862"/>
      <c r="P470" s="862"/>
      <c r="Q470" s="862"/>
      <c r="R470" s="862">
        <f t="shared" si="107"/>
        <v>0</v>
      </c>
      <c r="S470" s="862"/>
      <c r="T470" s="862"/>
      <c r="U470" s="862"/>
      <c r="V470" s="862"/>
      <c r="W470" s="862">
        <f t="shared" si="148"/>
        <v>180000000</v>
      </c>
      <c r="X470" s="862">
        <f t="shared" si="149"/>
        <v>0</v>
      </c>
      <c r="Y470" s="862">
        <f t="shared" si="150"/>
        <v>34589643000</v>
      </c>
    </row>
    <row r="471" spans="1:25" s="514" customFormat="1" ht="32.1" customHeight="1">
      <c r="A471" s="888"/>
      <c r="B471" s="889" t="s">
        <v>1542</v>
      </c>
      <c r="C471" s="890"/>
      <c r="D471" s="870"/>
      <c r="E471" s="888"/>
      <c r="F471" s="862"/>
      <c r="G471" s="862"/>
      <c r="H471" s="891"/>
      <c r="I471" s="891"/>
      <c r="J471" s="891"/>
      <c r="K471" s="891"/>
      <c r="L471" s="891"/>
      <c r="M471" s="891"/>
      <c r="N471" s="891"/>
      <c r="O471" s="891"/>
      <c r="P471" s="891"/>
      <c r="Q471" s="891"/>
      <c r="R471" s="891"/>
      <c r="S471" s="891"/>
      <c r="T471" s="891"/>
      <c r="U471" s="891"/>
      <c r="V471" s="891"/>
      <c r="W471" s="862">
        <f t="shared" si="148"/>
        <v>0</v>
      </c>
      <c r="X471" s="862">
        <f t="shared" si="149"/>
        <v>0</v>
      </c>
      <c r="Y471" s="862">
        <f t="shared" si="150"/>
        <v>0</v>
      </c>
    </row>
    <row r="472" spans="1:25" ht="42" customHeight="1">
      <c r="A472" s="870"/>
      <c r="B472" s="887" t="s">
        <v>1570</v>
      </c>
      <c r="C472" s="876"/>
      <c r="D472" s="870" t="s">
        <v>825</v>
      </c>
      <c r="E472" s="870">
        <v>7598225</v>
      </c>
      <c r="F472" s="862">
        <v>14862000000</v>
      </c>
      <c r="G472" s="862"/>
      <c r="H472" s="862"/>
      <c r="I472" s="862"/>
      <c r="J472" s="862"/>
      <c r="K472" s="862"/>
      <c r="L472" s="862"/>
      <c r="M472" s="862"/>
      <c r="N472" s="862"/>
      <c r="O472" s="862"/>
      <c r="P472" s="862"/>
      <c r="Q472" s="862">
        <v>9640000000</v>
      </c>
      <c r="R472" s="862">
        <v>277367000</v>
      </c>
      <c r="S472" s="862">
        <v>277367000</v>
      </c>
      <c r="T472" s="862">
        <v>0</v>
      </c>
      <c r="U472" s="862"/>
      <c r="V472" s="862"/>
      <c r="W472" s="862">
        <f t="shared" si="148"/>
        <v>277367000</v>
      </c>
      <c r="X472" s="862">
        <f t="shared" si="149"/>
        <v>0</v>
      </c>
      <c r="Y472" s="862">
        <f t="shared" si="150"/>
        <v>277367000</v>
      </c>
    </row>
    <row r="473" spans="1:25" s="515" customFormat="1" ht="42" customHeight="1">
      <c r="A473" s="871" t="s">
        <v>77</v>
      </c>
      <c r="B473" s="883" t="s">
        <v>1138</v>
      </c>
      <c r="C473" s="875"/>
      <c r="D473" s="870"/>
      <c r="E473" s="871"/>
      <c r="F473" s="884">
        <f t="shared" ref="F473:Y473" si="152">F474+F662</f>
        <v>6274328400000</v>
      </c>
      <c r="G473" s="884">
        <f t="shared" si="152"/>
        <v>10141444501492</v>
      </c>
      <c r="H473" s="884">
        <f t="shared" si="152"/>
        <v>353753954623</v>
      </c>
      <c r="I473" s="884">
        <f t="shared" si="152"/>
        <v>5538305556</v>
      </c>
      <c r="J473" s="884">
        <f t="shared" si="152"/>
        <v>164288464052</v>
      </c>
      <c r="K473" s="884">
        <f t="shared" si="152"/>
        <v>0</v>
      </c>
      <c r="L473" s="884">
        <f t="shared" si="152"/>
        <v>0</v>
      </c>
      <c r="M473" s="884">
        <f t="shared" si="152"/>
        <v>0</v>
      </c>
      <c r="N473" s="884">
        <f t="shared" si="152"/>
        <v>0</v>
      </c>
      <c r="O473" s="884">
        <f t="shared" si="152"/>
        <v>0</v>
      </c>
      <c r="P473" s="884">
        <f t="shared" si="152"/>
        <v>0</v>
      </c>
      <c r="Q473" s="884">
        <f t="shared" si="152"/>
        <v>0</v>
      </c>
      <c r="R473" s="884">
        <f t="shared" si="152"/>
        <v>0</v>
      </c>
      <c r="S473" s="884">
        <f t="shared" si="152"/>
        <v>0</v>
      </c>
      <c r="T473" s="884">
        <f t="shared" si="152"/>
        <v>0</v>
      </c>
      <c r="U473" s="884">
        <f t="shared" si="152"/>
        <v>0</v>
      </c>
      <c r="V473" s="884">
        <f t="shared" si="152"/>
        <v>0</v>
      </c>
      <c r="W473" s="884">
        <f>W474+W662</f>
        <v>164288464052</v>
      </c>
      <c r="X473" s="884">
        <f t="shared" si="152"/>
        <v>183927185015</v>
      </c>
      <c r="Y473" s="884">
        <f t="shared" si="152"/>
        <v>10138672678492</v>
      </c>
    </row>
    <row r="474" spans="1:25" ht="15" customHeight="1">
      <c r="A474" s="871" t="s">
        <v>108</v>
      </c>
      <c r="B474" s="883" t="s">
        <v>795</v>
      </c>
      <c r="C474" s="875"/>
      <c r="D474" s="870"/>
      <c r="E474" s="871"/>
      <c r="F474" s="884">
        <f>F475</f>
        <v>338315000000</v>
      </c>
      <c r="G474" s="884">
        <f t="shared" ref="G474:Y474" si="153">G475</f>
        <v>3932571869456</v>
      </c>
      <c r="H474" s="884">
        <f t="shared" si="153"/>
        <v>112428056422</v>
      </c>
      <c r="I474" s="884">
        <f t="shared" si="153"/>
        <v>1373959732</v>
      </c>
      <c r="J474" s="884">
        <f t="shared" si="153"/>
        <v>50774995635</v>
      </c>
      <c r="K474" s="884">
        <f t="shared" si="153"/>
        <v>0</v>
      </c>
      <c r="L474" s="884">
        <f t="shared" si="153"/>
        <v>0</v>
      </c>
      <c r="M474" s="884">
        <f t="shared" si="153"/>
        <v>0</v>
      </c>
      <c r="N474" s="884">
        <f t="shared" si="153"/>
        <v>0</v>
      </c>
      <c r="O474" s="884">
        <f t="shared" si="153"/>
        <v>0</v>
      </c>
      <c r="P474" s="884">
        <f t="shared" si="153"/>
        <v>0</v>
      </c>
      <c r="Q474" s="884">
        <f t="shared" si="153"/>
        <v>0</v>
      </c>
      <c r="R474" s="884">
        <f t="shared" si="153"/>
        <v>0</v>
      </c>
      <c r="S474" s="884">
        <f t="shared" si="153"/>
        <v>0</v>
      </c>
      <c r="T474" s="884">
        <f t="shared" si="153"/>
        <v>0</v>
      </c>
      <c r="U474" s="884">
        <f t="shared" si="153"/>
        <v>0</v>
      </c>
      <c r="V474" s="884">
        <f t="shared" si="153"/>
        <v>0</v>
      </c>
      <c r="W474" s="884">
        <f t="shared" si="153"/>
        <v>50774995635</v>
      </c>
      <c r="X474" s="884">
        <f t="shared" si="153"/>
        <v>60279101055</v>
      </c>
      <c r="Y474" s="884">
        <f t="shared" si="153"/>
        <v>3929800046456</v>
      </c>
    </row>
    <row r="475" spans="1:25" ht="42" customHeight="1">
      <c r="A475" s="871">
        <v>1</v>
      </c>
      <c r="B475" s="883" t="s">
        <v>796</v>
      </c>
      <c r="C475" s="875"/>
      <c r="D475" s="870"/>
      <c r="E475" s="871"/>
      <c r="F475" s="884">
        <f t="shared" ref="F475:Y475" si="154">F477+F548+F607+F611+F632+F639+F643+F645</f>
        <v>338315000000</v>
      </c>
      <c r="G475" s="884">
        <f t="shared" si="154"/>
        <v>3932571869456</v>
      </c>
      <c r="H475" s="884">
        <f t="shared" si="154"/>
        <v>112428056422</v>
      </c>
      <c r="I475" s="884">
        <f t="shared" si="154"/>
        <v>1373959732</v>
      </c>
      <c r="J475" s="884">
        <f t="shared" si="154"/>
        <v>50774995635</v>
      </c>
      <c r="K475" s="884">
        <f t="shared" si="154"/>
        <v>0</v>
      </c>
      <c r="L475" s="884">
        <f t="shared" si="154"/>
        <v>0</v>
      </c>
      <c r="M475" s="884">
        <f t="shared" si="154"/>
        <v>0</v>
      </c>
      <c r="N475" s="884">
        <f t="shared" si="154"/>
        <v>0</v>
      </c>
      <c r="O475" s="884">
        <f t="shared" si="154"/>
        <v>0</v>
      </c>
      <c r="P475" s="884">
        <f t="shared" si="154"/>
        <v>0</v>
      </c>
      <c r="Q475" s="884">
        <f t="shared" si="154"/>
        <v>0</v>
      </c>
      <c r="R475" s="884">
        <f t="shared" si="154"/>
        <v>0</v>
      </c>
      <c r="S475" s="884">
        <f t="shared" si="154"/>
        <v>0</v>
      </c>
      <c r="T475" s="884">
        <f t="shared" si="154"/>
        <v>0</v>
      </c>
      <c r="U475" s="884">
        <f t="shared" si="154"/>
        <v>0</v>
      </c>
      <c r="V475" s="884">
        <f t="shared" si="154"/>
        <v>0</v>
      </c>
      <c r="W475" s="884">
        <f>W477+W548+W607+W611+W632+W639+W643+W645</f>
        <v>50774995635</v>
      </c>
      <c r="X475" s="884">
        <f t="shared" si="154"/>
        <v>60279101055</v>
      </c>
      <c r="Y475" s="884">
        <f t="shared" si="154"/>
        <v>3929800046456</v>
      </c>
    </row>
    <row r="476" spans="1:25" ht="15" customHeight="1">
      <c r="A476" s="870" t="s">
        <v>103</v>
      </c>
      <c r="B476" s="887" t="s">
        <v>798</v>
      </c>
      <c r="C476" s="876"/>
      <c r="D476" s="870"/>
      <c r="E476" s="870"/>
      <c r="F476" s="862"/>
      <c r="G476" s="862"/>
      <c r="H476" s="862"/>
      <c r="I476" s="862"/>
      <c r="J476" s="862"/>
      <c r="K476" s="862"/>
      <c r="L476" s="862"/>
      <c r="M476" s="862"/>
      <c r="N476" s="862"/>
      <c r="O476" s="862"/>
      <c r="P476" s="862"/>
      <c r="Q476" s="862"/>
      <c r="R476" s="862">
        <f t="shared" si="107"/>
        <v>0</v>
      </c>
      <c r="S476" s="862"/>
      <c r="T476" s="862"/>
      <c r="U476" s="862"/>
      <c r="V476" s="862"/>
      <c r="W476" s="862">
        <f t="shared" si="148"/>
        <v>0</v>
      </c>
      <c r="X476" s="862">
        <f t="shared" si="149"/>
        <v>0</v>
      </c>
      <c r="Y476" s="862">
        <f t="shared" si="150"/>
        <v>0</v>
      </c>
    </row>
    <row r="477" spans="1:25" ht="24.95" customHeight="1">
      <c r="A477" s="951" t="s">
        <v>108</v>
      </c>
      <c r="B477" s="952" t="s">
        <v>1139</v>
      </c>
      <c r="C477" s="876"/>
      <c r="D477" s="870"/>
      <c r="E477" s="951"/>
      <c r="F477" s="884">
        <f>SUM(F478:F547)</f>
        <v>338315000000</v>
      </c>
      <c r="G477" s="884">
        <f t="shared" ref="G477:Y477" si="155">SUM(G478:G547)</f>
        <v>1798791506981</v>
      </c>
      <c r="H477" s="884">
        <f t="shared" si="155"/>
        <v>34120750780</v>
      </c>
      <c r="I477" s="884">
        <f t="shared" si="155"/>
        <v>726735791</v>
      </c>
      <c r="J477" s="884">
        <f t="shared" si="155"/>
        <v>8359496098</v>
      </c>
      <c r="K477" s="884">
        <f t="shared" si="155"/>
        <v>0</v>
      </c>
      <c r="L477" s="884">
        <f t="shared" si="155"/>
        <v>0</v>
      </c>
      <c r="M477" s="884">
        <f t="shared" si="155"/>
        <v>0</v>
      </c>
      <c r="N477" s="884">
        <f t="shared" si="155"/>
        <v>0</v>
      </c>
      <c r="O477" s="884">
        <f t="shared" si="155"/>
        <v>0</v>
      </c>
      <c r="P477" s="884">
        <f t="shared" si="155"/>
        <v>0</v>
      </c>
      <c r="Q477" s="884">
        <f t="shared" si="155"/>
        <v>0</v>
      </c>
      <c r="R477" s="884">
        <f t="shared" si="155"/>
        <v>0</v>
      </c>
      <c r="S477" s="884">
        <f t="shared" si="155"/>
        <v>0</v>
      </c>
      <c r="T477" s="884">
        <f t="shared" si="155"/>
        <v>0</v>
      </c>
      <c r="U477" s="884">
        <f t="shared" si="155"/>
        <v>0</v>
      </c>
      <c r="V477" s="884">
        <f t="shared" si="155"/>
        <v>0</v>
      </c>
      <c r="W477" s="884">
        <f t="shared" si="155"/>
        <v>8359496098</v>
      </c>
      <c r="X477" s="884">
        <f t="shared" si="155"/>
        <v>25034518891</v>
      </c>
      <c r="Y477" s="884">
        <f t="shared" si="155"/>
        <v>1798791506981</v>
      </c>
    </row>
    <row r="478" spans="1:25" ht="24.95" customHeight="1">
      <c r="A478" s="953">
        <v>1</v>
      </c>
      <c r="B478" s="909" t="s">
        <v>14</v>
      </c>
      <c r="C478" s="876"/>
      <c r="D478" s="870" t="s">
        <v>825</v>
      </c>
      <c r="E478" s="863">
        <v>7003174</v>
      </c>
      <c r="F478" s="862"/>
      <c r="G478" s="862">
        <v>132273462198</v>
      </c>
      <c r="H478" s="862">
        <v>399021000</v>
      </c>
      <c r="I478" s="862"/>
      <c r="J478" s="862">
        <v>399021000</v>
      </c>
      <c r="K478" s="862"/>
      <c r="L478" s="862"/>
      <c r="M478" s="862"/>
      <c r="N478" s="862"/>
      <c r="O478" s="862"/>
      <c r="P478" s="862"/>
      <c r="Q478" s="862"/>
      <c r="R478" s="862"/>
      <c r="S478" s="862"/>
      <c r="T478" s="862"/>
      <c r="U478" s="862"/>
      <c r="V478" s="862"/>
      <c r="W478" s="862">
        <f>J478+M478+S478</f>
        <v>399021000</v>
      </c>
      <c r="X478" s="862">
        <f>H478-I478-J478+N478+T478</f>
        <v>0</v>
      </c>
      <c r="Y478" s="862">
        <f>G478+L478+R478</f>
        <v>132273462198</v>
      </c>
    </row>
    <row r="479" spans="1:25" ht="32.1" customHeight="1">
      <c r="A479" s="953">
        <v>2</v>
      </c>
      <c r="B479" s="865" t="s">
        <v>1140</v>
      </c>
      <c r="C479" s="876"/>
      <c r="D479" s="870" t="s">
        <v>825</v>
      </c>
      <c r="E479" s="870">
        <v>7004105</v>
      </c>
      <c r="F479" s="862">
        <v>110405000000</v>
      </c>
      <c r="G479" s="862">
        <v>92384571255</v>
      </c>
      <c r="H479" s="862">
        <v>105377195</v>
      </c>
      <c r="I479" s="862">
        <v>0</v>
      </c>
      <c r="J479" s="862">
        <v>81377195</v>
      </c>
      <c r="K479" s="862"/>
      <c r="L479" s="862"/>
      <c r="M479" s="862"/>
      <c r="N479" s="862"/>
      <c r="O479" s="862"/>
      <c r="P479" s="862"/>
      <c r="Q479" s="862"/>
      <c r="R479" s="862"/>
      <c r="S479" s="862"/>
      <c r="T479" s="862"/>
      <c r="U479" s="862"/>
      <c r="V479" s="862"/>
      <c r="W479" s="862">
        <f t="shared" si="148"/>
        <v>81377195</v>
      </c>
      <c r="X479" s="862">
        <f t="shared" si="149"/>
        <v>24000000</v>
      </c>
      <c r="Y479" s="862">
        <f t="shared" si="150"/>
        <v>92384571255</v>
      </c>
    </row>
    <row r="480" spans="1:25" ht="15" customHeight="1">
      <c r="A480" s="953">
        <v>3</v>
      </c>
      <c r="B480" s="865" t="s">
        <v>525</v>
      </c>
      <c r="C480" s="876"/>
      <c r="D480" s="870" t="s">
        <v>825</v>
      </c>
      <c r="E480" s="953">
        <v>7004463</v>
      </c>
      <c r="F480" s="862">
        <v>45000000000</v>
      </c>
      <c r="G480" s="862">
        <v>34409643000</v>
      </c>
      <c r="H480" s="862">
        <v>224594584</v>
      </c>
      <c r="I480" s="862">
        <v>224593140</v>
      </c>
      <c r="J480" s="862"/>
      <c r="K480" s="862"/>
      <c r="L480" s="862"/>
      <c r="M480" s="862"/>
      <c r="N480" s="862"/>
      <c r="O480" s="862"/>
      <c r="P480" s="862"/>
      <c r="Q480" s="862"/>
      <c r="R480" s="862"/>
      <c r="S480" s="862"/>
      <c r="T480" s="862"/>
      <c r="U480" s="862"/>
      <c r="V480" s="862"/>
      <c r="W480" s="862">
        <f t="shared" si="148"/>
        <v>0</v>
      </c>
      <c r="X480" s="862">
        <f t="shared" si="149"/>
        <v>1444</v>
      </c>
      <c r="Y480" s="862">
        <f t="shared" si="150"/>
        <v>34409643000</v>
      </c>
    </row>
    <row r="481" spans="1:25" ht="15" customHeight="1">
      <c r="A481" s="953">
        <v>4</v>
      </c>
      <c r="B481" s="865" t="s">
        <v>1571</v>
      </c>
      <c r="C481" s="876"/>
      <c r="D481" s="870" t="s">
        <v>825</v>
      </c>
      <c r="E481" s="953"/>
      <c r="F481" s="862"/>
      <c r="G481" s="862"/>
      <c r="H481" s="862"/>
      <c r="I481" s="862"/>
      <c r="J481" s="862"/>
      <c r="K481" s="862"/>
      <c r="L481" s="862"/>
      <c r="M481" s="862"/>
      <c r="N481" s="862"/>
      <c r="O481" s="862"/>
      <c r="P481" s="862"/>
      <c r="Q481" s="862"/>
      <c r="R481" s="862"/>
      <c r="S481" s="862"/>
      <c r="T481" s="862"/>
      <c r="U481" s="862"/>
      <c r="V481" s="862"/>
      <c r="W481" s="862">
        <f t="shared" si="148"/>
        <v>0</v>
      </c>
      <c r="X481" s="862">
        <f t="shared" si="149"/>
        <v>0</v>
      </c>
      <c r="Y481" s="862">
        <f t="shared" si="150"/>
        <v>0</v>
      </c>
    </row>
    <row r="482" spans="1:25" s="512" customFormat="1" ht="24.95" customHeight="1">
      <c r="A482" s="953">
        <v>5</v>
      </c>
      <c r="B482" s="885" t="s">
        <v>1544</v>
      </c>
      <c r="C482" s="880"/>
      <c r="D482" s="879" t="s">
        <v>825</v>
      </c>
      <c r="E482" s="954">
        <v>7004686</v>
      </c>
      <c r="F482" s="886"/>
      <c r="G482" s="886">
        <v>76254000000</v>
      </c>
      <c r="H482" s="886">
        <v>703557380</v>
      </c>
      <c r="I482" s="886"/>
      <c r="J482" s="886"/>
      <c r="K482" s="886"/>
      <c r="L482" s="886"/>
      <c r="M482" s="886"/>
      <c r="N482" s="886"/>
      <c r="O482" s="886"/>
      <c r="P482" s="886"/>
      <c r="Q482" s="886"/>
      <c r="R482" s="886"/>
      <c r="S482" s="886"/>
      <c r="T482" s="886"/>
      <c r="U482" s="886"/>
      <c r="V482" s="886"/>
      <c r="W482" s="886"/>
      <c r="X482" s="886">
        <f t="shared" si="149"/>
        <v>703557380</v>
      </c>
      <c r="Y482" s="886">
        <f t="shared" si="150"/>
        <v>76254000000</v>
      </c>
    </row>
    <row r="483" spans="1:25" s="512" customFormat="1" ht="24.95" customHeight="1">
      <c r="A483" s="953">
        <v>6</v>
      </c>
      <c r="B483" s="885" t="s">
        <v>1543</v>
      </c>
      <c r="C483" s="880"/>
      <c r="D483" s="879" t="s">
        <v>825</v>
      </c>
      <c r="E483" s="879">
        <v>7004686</v>
      </c>
      <c r="F483" s="886"/>
      <c r="G483" s="886">
        <v>2381676000</v>
      </c>
      <c r="H483" s="886">
        <v>24218000</v>
      </c>
      <c r="I483" s="886"/>
      <c r="J483" s="886"/>
      <c r="K483" s="886"/>
      <c r="L483" s="886"/>
      <c r="M483" s="886"/>
      <c r="N483" s="886"/>
      <c r="O483" s="886"/>
      <c r="P483" s="886"/>
      <c r="Q483" s="886"/>
      <c r="R483" s="886"/>
      <c r="S483" s="886"/>
      <c r="T483" s="886"/>
      <c r="U483" s="886"/>
      <c r="V483" s="886"/>
      <c r="W483" s="886">
        <f t="shared" si="148"/>
        <v>0</v>
      </c>
      <c r="X483" s="886">
        <f t="shared" si="149"/>
        <v>24218000</v>
      </c>
      <c r="Y483" s="886">
        <f t="shared" si="150"/>
        <v>2381676000</v>
      </c>
    </row>
    <row r="484" spans="1:25" s="512" customFormat="1" ht="42" customHeight="1">
      <c r="A484" s="953">
        <v>7</v>
      </c>
      <c r="B484" s="885" t="s">
        <v>1545</v>
      </c>
      <c r="C484" s="880"/>
      <c r="D484" s="879" t="s">
        <v>825</v>
      </c>
      <c r="E484" s="879">
        <v>7004686</v>
      </c>
      <c r="F484" s="886"/>
      <c r="G484" s="886">
        <v>18377746000</v>
      </c>
      <c r="H484" s="886">
        <v>1170917000</v>
      </c>
      <c r="I484" s="886"/>
      <c r="J484" s="886"/>
      <c r="K484" s="886"/>
      <c r="L484" s="886"/>
      <c r="M484" s="886"/>
      <c r="N484" s="886"/>
      <c r="O484" s="886"/>
      <c r="P484" s="886"/>
      <c r="Q484" s="886"/>
      <c r="R484" s="886"/>
      <c r="S484" s="886"/>
      <c r="T484" s="886"/>
      <c r="U484" s="886"/>
      <c r="V484" s="886"/>
      <c r="W484" s="886">
        <f t="shared" si="148"/>
        <v>0</v>
      </c>
      <c r="X484" s="886">
        <f t="shared" si="149"/>
        <v>1170917000</v>
      </c>
      <c r="Y484" s="886">
        <f t="shared" si="150"/>
        <v>18377746000</v>
      </c>
    </row>
    <row r="485" spans="1:25" ht="15" customHeight="1">
      <c r="A485" s="953">
        <v>8</v>
      </c>
      <c r="B485" s="865" t="s">
        <v>1141</v>
      </c>
      <c r="C485" s="876"/>
      <c r="D485" s="870" t="s">
        <v>825</v>
      </c>
      <c r="E485" s="953">
        <v>7004692</v>
      </c>
      <c r="F485" s="862"/>
      <c r="G485" s="862"/>
      <c r="H485" s="862">
        <v>343911265</v>
      </c>
      <c r="I485" s="862">
        <v>136915265</v>
      </c>
      <c r="J485" s="862">
        <v>157896000</v>
      </c>
      <c r="K485" s="862"/>
      <c r="L485" s="862"/>
      <c r="M485" s="862"/>
      <c r="N485" s="862"/>
      <c r="O485" s="862"/>
      <c r="P485" s="862"/>
      <c r="Q485" s="862"/>
      <c r="R485" s="862"/>
      <c r="S485" s="862"/>
      <c r="T485" s="862"/>
      <c r="U485" s="862"/>
      <c r="V485" s="862"/>
      <c r="W485" s="862">
        <f>J485+M485+S485</f>
        <v>157896000</v>
      </c>
      <c r="X485" s="862">
        <f>H485-I485-J485+N485+T485</f>
        <v>49100000</v>
      </c>
      <c r="Y485" s="862">
        <f t="shared" si="150"/>
        <v>0</v>
      </c>
    </row>
    <row r="486" spans="1:25" ht="24.95" customHeight="1">
      <c r="A486" s="953">
        <v>9</v>
      </c>
      <c r="B486" s="865" t="s">
        <v>641</v>
      </c>
      <c r="C486" s="876"/>
      <c r="D486" s="870" t="s">
        <v>825</v>
      </c>
      <c r="E486" s="863">
        <v>7006700</v>
      </c>
      <c r="F486" s="862">
        <v>112554000000</v>
      </c>
      <c r="G486" s="862">
        <v>109144020538</v>
      </c>
      <c r="H486" s="862">
        <v>131545000</v>
      </c>
      <c r="I486" s="862">
        <v>3317467</v>
      </c>
      <c r="J486" s="862"/>
      <c r="K486" s="862"/>
      <c r="L486" s="862"/>
      <c r="M486" s="862"/>
      <c r="N486" s="862"/>
      <c r="O486" s="862"/>
      <c r="P486" s="862"/>
      <c r="Q486" s="862"/>
      <c r="R486" s="862"/>
      <c r="S486" s="862"/>
      <c r="T486" s="862"/>
      <c r="U486" s="862"/>
      <c r="V486" s="862"/>
      <c r="W486" s="862">
        <f t="shared" si="148"/>
        <v>0</v>
      </c>
      <c r="X486" s="862">
        <f t="shared" si="149"/>
        <v>128227533</v>
      </c>
      <c r="Y486" s="862">
        <f t="shared" si="150"/>
        <v>109144020538</v>
      </c>
    </row>
    <row r="487" spans="1:25" ht="15" customHeight="1">
      <c r="A487" s="953">
        <v>10</v>
      </c>
      <c r="B487" s="865" t="s">
        <v>1142</v>
      </c>
      <c r="C487" s="876"/>
      <c r="D487" s="870" t="s">
        <v>825</v>
      </c>
      <c r="E487" s="953">
        <v>7006801</v>
      </c>
      <c r="F487" s="862">
        <v>19731000000</v>
      </c>
      <c r="G487" s="862">
        <v>230430194</v>
      </c>
      <c r="H487" s="862">
        <v>55758700</v>
      </c>
      <c r="I487" s="862"/>
      <c r="J487" s="862"/>
      <c r="K487" s="862"/>
      <c r="L487" s="862"/>
      <c r="M487" s="862"/>
      <c r="N487" s="862"/>
      <c r="O487" s="862"/>
      <c r="P487" s="862"/>
      <c r="Q487" s="862"/>
      <c r="R487" s="862"/>
      <c r="S487" s="862"/>
      <c r="T487" s="862"/>
      <c r="U487" s="862"/>
      <c r="V487" s="862"/>
      <c r="W487" s="862">
        <f t="shared" si="148"/>
        <v>0</v>
      </c>
      <c r="X487" s="862">
        <f t="shared" si="149"/>
        <v>55758700</v>
      </c>
      <c r="Y487" s="862">
        <f t="shared" si="150"/>
        <v>230430194</v>
      </c>
    </row>
    <row r="488" spans="1:25" ht="24.95" customHeight="1">
      <c r="A488" s="953">
        <v>11</v>
      </c>
      <c r="B488" s="865" t="s">
        <v>1143</v>
      </c>
      <c r="C488" s="876"/>
      <c r="D488" s="870" t="s">
        <v>825</v>
      </c>
      <c r="E488" s="870">
        <v>7007262</v>
      </c>
      <c r="F488" s="862">
        <v>29572000000</v>
      </c>
      <c r="G488" s="862">
        <v>25459969573</v>
      </c>
      <c r="H488" s="862">
        <v>0</v>
      </c>
      <c r="I488" s="862"/>
      <c r="J488" s="862"/>
      <c r="K488" s="862"/>
      <c r="L488" s="862"/>
      <c r="M488" s="862"/>
      <c r="N488" s="862"/>
      <c r="O488" s="862"/>
      <c r="P488" s="862"/>
      <c r="Q488" s="862"/>
      <c r="R488" s="862"/>
      <c r="S488" s="862"/>
      <c r="T488" s="862"/>
      <c r="U488" s="862"/>
      <c r="V488" s="862"/>
      <c r="W488" s="862">
        <f t="shared" si="148"/>
        <v>0</v>
      </c>
      <c r="X488" s="862">
        <f t="shared" si="149"/>
        <v>0</v>
      </c>
      <c r="Y488" s="862">
        <f t="shared" si="150"/>
        <v>25459969573</v>
      </c>
    </row>
    <row r="489" spans="1:25" ht="15" customHeight="1">
      <c r="A489" s="953">
        <v>12</v>
      </c>
      <c r="B489" s="865" t="s">
        <v>1144</v>
      </c>
      <c r="C489" s="876"/>
      <c r="D489" s="870" t="s">
        <v>825</v>
      </c>
      <c r="E489" s="953">
        <v>7007319</v>
      </c>
      <c r="F489" s="862">
        <v>21053000000</v>
      </c>
      <c r="G489" s="862">
        <v>12578770000</v>
      </c>
      <c r="H489" s="862">
        <v>1174923000</v>
      </c>
      <c r="I489" s="862"/>
      <c r="J489" s="862"/>
      <c r="K489" s="862"/>
      <c r="L489" s="862"/>
      <c r="M489" s="862"/>
      <c r="N489" s="862"/>
      <c r="O489" s="862"/>
      <c r="P489" s="862"/>
      <c r="Q489" s="862"/>
      <c r="R489" s="862"/>
      <c r="S489" s="862"/>
      <c r="T489" s="862"/>
      <c r="U489" s="862"/>
      <c r="V489" s="862"/>
      <c r="W489" s="862">
        <f t="shared" si="148"/>
        <v>0</v>
      </c>
      <c r="X489" s="862">
        <f t="shared" si="149"/>
        <v>1174923000</v>
      </c>
      <c r="Y489" s="862">
        <f t="shared" si="150"/>
        <v>12578770000</v>
      </c>
    </row>
    <row r="490" spans="1:25" ht="32.1" customHeight="1">
      <c r="A490" s="953">
        <v>13</v>
      </c>
      <c r="B490" s="865" t="s">
        <v>1145</v>
      </c>
      <c r="C490" s="876"/>
      <c r="D490" s="870" t="s">
        <v>825</v>
      </c>
      <c r="E490" s="953">
        <v>7011119</v>
      </c>
      <c r="F490" s="862"/>
      <c r="G490" s="862">
        <v>8921894000</v>
      </c>
      <c r="H490" s="862">
        <v>60000000</v>
      </c>
      <c r="I490" s="862"/>
      <c r="J490" s="862"/>
      <c r="K490" s="862"/>
      <c r="L490" s="862"/>
      <c r="M490" s="862"/>
      <c r="N490" s="862"/>
      <c r="O490" s="862"/>
      <c r="P490" s="862"/>
      <c r="Q490" s="862"/>
      <c r="R490" s="862"/>
      <c r="S490" s="862"/>
      <c r="T490" s="862"/>
      <c r="U490" s="862"/>
      <c r="V490" s="862"/>
      <c r="W490" s="862">
        <f t="shared" si="148"/>
        <v>0</v>
      </c>
      <c r="X490" s="862">
        <f t="shared" si="149"/>
        <v>60000000</v>
      </c>
      <c r="Y490" s="862">
        <f t="shared" si="150"/>
        <v>8921894000</v>
      </c>
    </row>
    <row r="491" spans="1:25" ht="24.95" customHeight="1">
      <c r="A491" s="953">
        <v>14</v>
      </c>
      <c r="B491" s="865" t="s">
        <v>1146</v>
      </c>
      <c r="C491" s="876"/>
      <c r="D491" s="870" t="s">
        <v>825</v>
      </c>
      <c r="E491" s="953">
        <v>7011315</v>
      </c>
      <c r="F491" s="862"/>
      <c r="G491" s="862">
        <v>3820191000</v>
      </c>
      <c r="H491" s="862">
        <v>295800000</v>
      </c>
      <c r="I491" s="862"/>
      <c r="J491" s="862"/>
      <c r="K491" s="862"/>
      <c r="L491" s="862"/>
      <c r="M491" s="862"/>
      <c r="N491" s="862"/>
      <c r="O491" s="862"/>
      <c r="P491" s="862"/>
      <c r="Q491" s="862"/>
      <c r="R491" s="862"/>
      <c r="S491" s="862"/>
      <c r="T491" s="862"/>
      <c r="U491" s="862"/>
      <c r="V491" s="862"/>
      <c r="W491" s="862">
        <f t="shared" si="148"/>
        <v>0</v>
      </c>
      <c r="X491" s="862">
        <f t="shared" si="149"/>
        <v>295800000</v>
      </c>
      <c r="Y491" s="862">
        <f t="shared" si="150"/>
        <v>3820191000</v>
      </c>
    </row>
    <row r="492" spans="1:25" ht="24.95" customHeight="1">
      <c r="A492" s="953">
        <v>15</v>
      </c>
      <c r="B492" s="865" t="s">
        <v>1147</v>
      </c>
      <c r="C492" s="876"/>
      <c r="D492" s="870" t="s">
        <v>825</v>
      </c>
      <c r="E492" s="863">
        <v>7011320</v>
      </c>
      <c r="F492" s="862"/>
      <c r="G492" s="862">
        <v>62546064800</v>
      </c>
      <c r="H492" s="862">
        <v>243724919</v>
      </c>
      <c r="I492" s="862">
        <v>213724919</v>
      </c>
      <c r="J492" s="862"/>
      <c r="K492" s="862"/>
      <c r="L492" s="862"/>
      <c r="M492" s="862"/>
      <c r="N492" s="862"/>
      <c r="O492" s="862"/>
      <c r="P492" s="862"/>
      <c r="Q492" s="862"/>
      <c r="R492" s="862"/>
      <c r="S492" s="862"/>
      <c r="T492" s="862"/>
      <c r="U492" s="862"/>
      <c r="V492" s="862"/>
      <c r="W492" s="862">
        <f t="shared" si="148"/>
        <v>0</v>
      </c>
      <c r="X492" s="862">
        <f t="shared" si="149"/>
        <v>30000000</v>
      </c>
      <c r="Y492" s="862">
        <f t="shared" si="150"/>
        <v>62546064800</v>
      </c>
    </row>
    <row r="493" spans="1:25" ht="24.95" customHeight="1">
      <c r="A493" s="953">
        <v>16</v>
      </c>
      <c r="B493" s="865" t="s">
        <v>1148</v>
      </c>
      <c r="C493" s="876"/>
      <c r="D493" s="870" t="s">
        <v>825</v>
      </c>
      <c r="E493" s="953">
        <v>7011363</v>
      </c>
      <c r="F493" s="862"/>
      <c r="G493" s="862">
        <v>143603000</v>
      </c>
      <c r="H493" s="862">
        <v>36997500</v>
      </c>
      <c r="I493" s="862"/>
      <c r="J493" s="862"/>
      <c r="K493" s="862"/>
      <c r="L493" s="862"/>
      <c r="M493" s="862"/>
      <c r="N493" s="862"/>
      <c r="O493" s="862"/>
      <c r="P493" s="862"/>
      <c r="Q493" s="862"/>
      <c r="R493" s="862"/>
      <c r="S493" s="862"/>
      <c r="T493" s="862"/>
      <c r="U493" s="862"/>
      <c r="V493" s="862"/>
      <c r="W493" s="862">
        <f t="shared" si="148"/>
        <v>0</v>
      </c>
      <c r="X493" s="862">
        <f t="shared" si="149"/>
        <v>36997500</v>
      </c>
      <c r="Y493" s="862">
        <f t="shared" si="150"/>
        <v>143603000</v>
      </c>
    </row>
    <row r="494" spans="1:25" ht="24.95" customHeight="1">
      <c r="A494" s="953">
        <v>17</v>
      </c>
      <c r="B494" s="865" t="s">
        <v>1149</v>
      </c>
      <c r="C494" s="876"/>
      <c r="D494" s="870" t="s">
        <v>825</v>
      </c>
      <c r="E494" s="953">
        <v>7011552</v>
      </c>
      <c r="F494" s="862"/>
      <c r="G494" s="862">
        <v>28792536000</v>
      </c>
      <c r="H494" s="862">
        <v>186801000</v>
      </c>
      <c r="I494" s="862"/>
      <c r="J494" s="862">
        <v>186801000</v>
      </c>
      <c r="K494" s="862"/>
      <c r="L494" s="862"/>
      <c r="M494" s="862"/>
      <c r="N494" s="862"/>
      <c r="O494" s="862"/>
      <c r="P494" s="862"/>
      <c r="Q494" s="862"/>
      <c r="R494" s="862"/>
      <c r="S494" s="862"/>
      <c r="T494" s="862"/>
      <c r="U494" s="862"/>
      <c r="V494" s="862"/>
      <c r="W494" s="862">
        <f t="shared" si="148"/>
        <v>186801000</v>
      </c>
      <c r="X494" s="862">
        <f t="shared" si="149"/>
        <v>0</v>
      </c>
      <c r="Y494" s="862">
        <f t="shared" si="150"/>
        <v>28792536000</v>
      </c>
    </row>
    <row r="495" spans="1:25" ht="24.95" customHeight="1">
      <c r="A495" s="953">
        <v>18</v>
      </c>
      <c r="B495" s="865" t="s">
        <v>1150</v>
      </c>
      <c r="C495" s="876"/>
      <c r="D495" s="870" t="s">
        <v>825</v>
      </c>
      <c r="E495" s="953">
        <v>7011723</v>
      </c>
      <c r="F495" s="862"/>
      <c r="G495" s="862">
        <v>3327667000</v>
      </c>
      <c r="H495" s="862">
        <v>198000000</v>
      </c>
      <c r="I495" s="862"/>
      <c r="J495" s="862"/>
      <c r="K495" s="862"/>
      <c r="L495" s="862"/>
      <c r="M495" s="862"/>
      <c r="N495" s="862"/>
      <c r="O495" s="862"/>
      <c r="P495" s="862"/>
      <c r="Q495" s="862"/>
      <c r="R495" s="862"/>
      <c r="S495" s="862"/>
      <c r="T495" s="862"/>
      <c r="U495" s="862"/>
      <c r="V495" s="862"/>
      <c r="W495" s="862">
        <f t="shared" si="148"/>
        <v>0</v>
      </c>
      <c r="X495" s="862">
        <f t="shared" si="149"/>
        <v>198000000</v>
      </c>
      <c r="Y495" s="862">
        <f t="shared" si="150"/>
        <v>3327667000</v>
      </c>
    </row>
    <row r="496" spans="1:25" ht="15" customHeight="1">
      <c r="A496" s="953">
        <v>19</v>
      </c>
      <c r="B496" s="865" t="s">
        <v>1151</v>
      </c>
      <c r="C496" s="876"/>
      <c r="D496" s="870" t="s">
        <v>825</v>
      </c>
      <c r="E496" s="953">
        <v>7013428</v>
      </c>
      <c r="F496" s="862"/>
      <c r="G496" s="862">
        <v>6729381822</v>
      </c>
      <c r="H496" s="862">
        <v>39000000</v>
      </c>
      <c r="I496" s="862"/>
      <c r="J496" s="862"/>
      <c r="K496" s="862"/>
      <c r="L496" s="862"/>
      <c r="M496" s="862"/>
      <c r="N496" s="862"/>
      <c r="O496" s="862"/>
      <c r="P496" s="862"/>
      <c r="Q496" s="862"/>
      <c r="R496" s="862"/>
      <c r="S496" s="862"/>
      <c r="T496" s="862"/>
      <c r="U496" s="862"/>
      <c r="V496" s="862"/>
      <c r="W496" s="862">
        <f t="shared" si="148"/>
        <v>0</v>
      </c>
      <c r="X496" s="862">
        <f t="shared" si="149"/>
        <v>39000000</v>
      </c>
      <c r="Y496" s="862">
        <f t="shared" si="150"/>
        <v>6729381822</v>
      </c>
    </row>
    <row r="497" spans="1:25" ht="15" customHeight="1">
      <c r="A497" s="953">
        <v>20</v>
      </c>
      <c r="B497" s="865" t="s">
        <v>1546</v>
      </c>
      <c r="C497" s="876"/>
      <c r="D497" s="870" t="s">
        <v>825</v>
      </c>
      <c r="E497" s="953">
        <v>7018895</v>
      </c>
      <c r="F497" s="862"/>
      <c r="G497" s="862">
        <v>19578900000</v>
      </c>
      <c r="H497" s="862">
        <v>214289000</v>
      </c>
      <c r="I497" s="862"/>
      <c r="J497" s="862"/>
      <c r="K497" s="862"/>
      <c r="L497" s="862"/>
      <c r="M497" s="862"/>
      <c r="N497" s="862"/>
      <c r="O497" s="862"/>
      <c r="P497" s="862"/>
      <c r="Q497" s="862"/>
      <c r="R497" s="862"/>
      <c r="S497" s="862"/>
      <c r="T497" s="862"/>
      <c r="U497" s="862"/>
      <c r="V497" s="862"/>
      <c r="W497" s="862">
        <f t="shared" si="148"/>
        <v>0</v>
      </c>
      <c r="X497" s="862">
        <f t="shared" si="149"/>
        <v>214289000</v>
      </c>
      <c r="Y497" s="862">
        <f t="shared" si="150"/>
        <v>19578900000</v>
      </c>
    </row>
    <row r="498" spans="1:25" ht="23.25" customHeight="1">
      <c r="A498" s="953">
        <v>21</v>
      </c>
      <c r="B498" s="865" t="s">
        <v>1547</v>
      </c>
      <c r="C498" s="876"/>
      <c r="D498" s="870" t="s">
        <v>825</v>
      </c>
      <c r="E498" s="953">
        <v>7027469</v>
      </c>
      <c r="F498" s="862"/>
      <c r="G498" s="862">
        <v>77722308000</v>
      </c>
      <c r="H498" s="862">
        <v>103030500</v>
      </c>
      <c r="I498" s="862"/>
      <c r="J498" s="862"/>
      <c r="K498" s="862"/>
      <c r="L498" s="862"/>
      <c r="M498" s="862"/>
      <c r="N498" s="862"/>
      <c r="O498" s="862"/>
      <c r="P498" s="862"/>
      <c r="Q498" s="862"/>
      <c r="R498" s="862"/>
      <c r="S498" s="862"/>
      <c r="T498" s="862"/>
      <c r="U498" s="862"/>
      <c r="V498" s="862"/>
      <c r="W498" s="862">
        <f t="shared" si="148"/>
        <v>0</v>
      </c>
      <c r="X498" s="862">
        <f t="shared" si="149"/>
        <v>103030500</v>
      </c>
      <c r="Y498" s="862">
        <f t="shared" si="150"/>
        <v>77722308000</v>
      </c>
    </row>
    <row r="499" spans="1:25" ht="24.95" customHeight="1">
      <c r="A499" s="953">
        <v>22</v>
      </c>
      <c r="B499" s="865" t="s">
        <v>1548</v>
      </c>
      <c r="C499" s="876"/>
      <c r="D499" s="870" t="s">
        <v>825</v>
      </c>
      <c r="E499" s="953">
        <v>7027887</v>
      </c>
      <c r="F499" s="862"/>
      <c r="G499" s="862">
        <v>100000000</v>
      </c>
      <c r="H499" s="862">
        <v>100000000</v>
      </c>
      <c r="I499" s="862"/>
      <c r="J499" s="862"/>
      <c r="K499" s="862"/>
      <c r="L499" s="862"/>
      <c r="M499" s="862"/>
      <c r="N499" s="862"/>
      <c r="O499" s="862"/>
      <c r="P499" s="862"/>
      <c r="Q499" s="862"/>
      <c r="R499" s="862"/>
      <c r="S499" s="862"/>
      <c r="T499" s="862"/>
      <c r="U499" s="862"/>
      <c r="V499" s="862"/>
      <c r="W499" s="862">
        <f t="shared" si="148"/>
        <v>0</v>
      </c>
      <c r="X499" s="862">
        <f t="shared" si="149"/>
        <v>100000000</v>
      </c>
      <c r="Y499" s="862">
        <f t="shared" si="150"/>
        <v>100000000</v>
      </c>
    </row>
    <row r="500" spans="1:25" ht="42" customHeight="1">
      <c r="A500" s="953">
        <v>23</v>
      </c>
      <c r="B500" s="899" t="s">
        <v>1152</v>
      </c>
      <c r="C500" s="876"/>
      <c r="D500" s="870" t="s">
        <v>825</v>
      </c>
      <c r="E500" s="898">
        <v>7047775</v>
      </c>
      <c r="F500" s="862"/>
      <c r="G500" s="862">
        <v>25856144882</v>
      </c>
      <c r="H500" s="862">
        <v>67015000</v>
      </c>
      <c r="I500" s="862"/>
      <c r="J500" s="862"/>
      <c r="K500" s="862"/>
      <c r="L500" s="862"/>
      <c r="M500" s="862"/>
      <c r="N500" s="862"/>
      <c r="O500" s="862"/>
      <c r="P500" s="862"/>
      <c r="Q500" s="862"/>
      <c r="R500" s="862"/>
      <c r="S500" s="862"/>
      <c r="T500" s="862"/>
      <c r="U500" s="862"/>
      <c r="V500" s="862"/>
      <c r="W500" s="862">
        <f t="shared" si="148"/>
        <v>0</v>
      </c>
      <c r="X500" s="862">
        <f t="shared" si="149"/>
        <v>67015000</v>
      </c>
      <c r="Y500" s="862">
        <f t="shared" si="150"/>
        <v>25856144882</v>
      </c>
    </row>
    <row r="501" spans="1:25" ht="24.95" customHeight="1">
      <c r="A501" s="953">
        <v>24</v>
      </c>
      <c r="B501" s="865" t="s">
        <v>1153</v>
      </c>
      <c r="C501" s="876"/>
      <c r="D501" s="870" t="s">
        <v>825</v>
      </c>
      <c r="E501" s="953">
        <v>7056574</v>
      </c>
      <c r="F501" s="862"/>
      <c r="G501" s="862">
        <v>400000000</v>
      </c>
      <c r="H501" s="862">
        <v>36000000</v>
      </c>
      <c r="I501" s="862"/>
      <c r="J501" s="862"/>
      <c r="K501" s="862"/>
      <c r="L501" s="862"/>
      <c r="M501" s="862"/>
      <c r="N501" s="862"/>
      <c r="O501" s="862"/>
      <c r="P501" s="862"/>
      <c r="Q501" s="862"/>
      <c r="R501" s="862"/>
      <c r="S501" s="862"/>
      <c r="T501" s="862"/>
      <c r="U501" s="862"/>
      <c r="V501" s="862"/>
      <c r="W501" s="862">
        <f t="shared" si="148"/>
        <v>0</v>
      </c>
      <c r="X501" s="862">
        <f t="shared" si="149"/>
        <v>36000000</v>
      </c>
      <c r="Y501" s="862">
        <f t="shared" si="150"/>
        <v>400000000</v>
      </c>
    </row>
    <row r="502" spans="1:25" ht="24.95" customHeight="1">
      <c r="A502" s="953">
        <v>25</v>
      </c>
      <c r="B502" s="865" t="s">
        <v>528</v>
      </c>
      <c r="C502" s="876"/>
      <c r="D502" s="870" t="s">
        <v>825</v>
      </c>
      <c r="E502" s="953">
        <v>7067082</v>
      </c>
      <c r="F502" s="862"/>
      <c r="G502" s="862">
        <v>117554511563</v>
      </c>
      <c r="H502" s="862">
        <v>227068282</v>
      </c>
      <c r="I502" s="862"/>
      <c r="J502" s="862"/>
      <c r="K502" s="862"/>
      <c r="L502" s="862"/>
      <c r="M502" s="862"/>
      <c r="N502" s="862"/>
      <c r="O502" s="862"/>
      <c r="P502" s="862"/>
      <c r="Q502" s="862"/>
      <c r="R502" s="862"/>
      <c r="S502" s="862"/>
      <c r="T502" s="862"/>
      <c r="U502" s="862"/>
      <c r="V502" s="862"/>
      <c r="W502" s="862">
        <f t="shared" si="148"/>
        <v>0</v>
      </c>
      <c r="X502" s="862">
        <f t="shared" si="149"/>
        <v>227068282</v>
      </c>
      <c r="Y502" s="862">
        <f t="shared" si="150"/>
        <v>117554511563</v>
      </c>
    </row>
    <row r="503" spans="1:25" ht="15" customHeight="1">
      <c r="A503" s="953">
        <v>26</v>
      </c>
      <c r="B503" s="865" t="s">
        <v>1154</v>
      </c>
      <c r="C503" s="876"/>
      <c r="D503" s="870" t="s">
        <v>825</v>
      </c>
      <c r="E503" s="953">
        <v>7072380</v>
      </c>
      <c r="F503" s="862"/>
      <c r="G503" s="862">
        <v>11643654000</v>
      </c>
      <c r="H503" s="862">
        <v>5109398000</v>
      </c>
      <c r="I503" s="862"/>
      <c r="J503" s="862"/>
      <c r="K503" s="862"/>
      <c r="L503" s="862"/>
      <c r="M503" s="862"/>
      <c r="N503" s="862"/>
      <c r="O503" s="862"/>
      <c r="P503" s="862"/>
      <c r="Q503" s="862"/>
      <c r="R503" s="862"/>
      <c r="S503" s="862"/>
      <c r="T503" s="862"/>
      <c r="U503" s="862"/>
      <c r="V503" s="862"/>
      <c r="W503" s="862">
        <f t="shared" si="148"/>
        <v>0</v>
      </c>
      <c r="X503" s="862">
        <f t="shared" si="149"/>
        <v>5109398000</v>
      </c>
      <c r="Y503" s="862">
        <f t="shared" si="150"/>
        <v>11643654000</v>
      </c>
    </row>
    <row r="504" spans="1:25" ht="15" customHeight="1">
      <c r="A504" s="953">
        <v>27</v>
      </c>
      <c r="B504" s="865" t="s">
        <v>1549</v>
      </c>
      <c r="C504" s="876"/>
      <c r="D504" s="870" t="s">
        <v>825</v>
      </c>
      <c r="E504" s="953">
        <v>7072606</v>
      </c>
      <c r="F504" s="862"/>
      <c r="G504" s="862">
        <v>1821455000</v>
      </c>
      <c r="H504" s="862">
        <v>10000000</v>
      </c>
      <c r="I504" s="862"/>
      <c r="J504" s="862"/>
      <c r="K504" s="862"/>
      <c r="L504" s="862"/>
      <c r="M504" s="862"/>
      <c r="N504" s="862"/>
      <c r="O504" s="862"/>
      <c r="P504" s="862"/>
      <c r="Q504" s="862"/>
      <c r="R504" s="862"/>
      <c r="S504" s="862"/>
      <c r="T504" s="862"/>
      <c r="U504" s="862"/>
      <c r="V504" s="862"/>
      <c r="W504" s="862">
        <f t="shared" si="148"/>
        <v>0</v>
      </c>
      <c r="X504" s="862">
        <f t="shared" si="149"/>
        <v>10000000</v>
      </c>
      <c r="Y504" s="862">
        <f t="shared" si="150"/>
        <v>1821455000</v>
      </c>
    </row>
    <row r="505" spans="1:25" ht="24.95" customHeight="1">
      <c r="A505" s="953">
        <v>28</v>
      </c>
      <c r="B505" s="865" t="s">
        <v>1155</v>
      </c>
      <c r="C505" s="876"/>
      <c r="D505" s="870" t="s">
        <v>825</v>
      </c>
      <c r="E505" s="953">
        <v>7075202</v>
      </c>
      <c r="F505" s="862"/>
      <c r="G505" s="862">
        <v>2305255000</v>
      </c>
      <c r="H505" s="862">
        <v>700000000</v>
      </c>
      <c r="I505" s="862"/>
      <c r="J505" s="862"/>
      <c r="K505" s="862"/>
      <c r="L505" s="862"/>
      <c r="M505" s="862"/>
      <c r="N505" s="862"/>
      <c r="O505" s="862"/>
      <c r="P505" s="862"/>
      <c r="Q505" s="862"/>
      <c r="R505" s="862"/>
      <c r="S505" s="862"/>
      <c r="T505" s="862"/>
      <c r="U505" s="862"/>
      <c r="V505" s="862"/>
      <c r="W505" s="862">
        <f t="shared" si="148"/>
        <v>0</v>
      </c>
      <c r="X505" s="862">
        <f t="shared" si="149"/>
        <v>700000000</v>
      </c>
      <c r="Y505" s="862">
        <f t="shared" si="150"/>
        <v>2305255000</v>
      </c>
    </row>
    <row r="506" spans="1:25" ht="24.95" customHeight="1">
      <c r="A506" s="953">
        <v>29</v>
      </c>
      <c r="B506" s="865" t="s">
        <v>1572</v>
      </c>
      <c r="C506" s="876"/>
      <c r="D506" s="870" t="s">
        <v>825</v>
      </c>
      <c r="E506" s="953">
        <v>7085918</v>
      </c>
      <c r="F506" s="862"/>
      <c r="G506" s="862">
        <v>2760454900</v>
      </c>
      <c r="H506" s="862">
        <v>105423152</v>
      </c>
      <c r="I506" s="862"/>
      <c r="J506" s="862"/>
      <c r="K506" s="862"/>
      <c r="L506" s="862"/>
      <c r="M506" s="862"/>
      <c r="N506" s="862"/>
      <c r="O506" s="862"/>
      <c r="P506" s="862"/>
      <c r="Q506" s="862"/>
      <c r="R506" s="862"/>
      <c r="S506" s="862"/>
      <c r="T506" s="862"/>
      <c r="U506" s="862"/>
      <c r="V506" s="862"/>
      <c r="W506" s="862">
        <f t="shared" si="148"/>
        <v>0</v>
      </c>
      <c r="X506" s="862">
        <f t="shared" si="149"/>
        <v>105423152</v>
      </c>
      <c r="Y506" s="862">
        <f t="shared" si="150"/>
        <v>2760454900</v>
      </c>
    </row>
    <row r="507" spans="1:25" ht="24.95" customHeight="1">
      <c r="A507" s="953">
        <v>30</v>
      </c>
      <c r="B507" s="865" t="s">
        <v>1573</v>
      </c>
      <c r="C507" s="876"/>
      <c r="D507" s="870" t="s">
        <v>825</v>
      </c>
      <c r="E507" s="953">
        <v>7100716</v>
      </c>
      <c r="F507" s="862"/>
      <c r="G507" s="862">
        <v>70872073433</v>
      </c>
      <c r="H507" s="862">
        <v>2826402817</v>
      </c>
      <c r="I507" s="862"/>
      <c r="J507" s="862"/>
      <c r="K507" s="862"/>
      <c r="L507" s="862"/>
      <c r="M507" s="862"/>
      <c r="N507" s="862"/>
      <c r="O507" s="862"/>
      <c r="P507" s="862"/>
      <c r="Q507" s="862"/>
      <c r="R507" s="862"/>
      <c r="S507" s="862"/>
      <c r="T507" s="862"/>
      <c r="U507" s="862"/>
      <c r="V507" s="862"/>
      <c r="W507" s="862">
        <f t="shared" si="148"/>
        <v>0</v>
      </c>
      <c r="X507" s="862">
        <f t="shared" si="149"/>
        <v>2826402817</v>
      </c>
      <c r="Y507" s="862">
        <f t="shared" si="150"/>
        <v>70872073433</v>
      </c>
    </row>
    <row r="508" spans="1:25" ht="32.1" customHeight="1">
      <c r="A508" s="953">
        <v>31</v>
      </c>
      <c r="B508" s="899" t="s">
        <v>529</v>
      </c>
      <c r="C508" s="876"/>
      <c r="D508" s="870" t="s">
        <v>825</v>
      </c>
      <c r="E508" s="910">
        <v>7112608</v>
      </c>
      <c r="F508" s="862"/>
      <c r="G508" s="862">
        <v>3521157000</v>
      </c>
      <c r="H508" s="862">
        <v>79000000</v>
      </c>
      <c r="I508" s="862"/>
      <c r="J508" s="862"/>
      <c r="K508" s="862"/>
      <c r="L508" s="862"/>
      <c r="M508" s="862"/>
      <c r="N508" s="862"/>
      <c r="O508" s="862"/>
      <c r="P508" s="862"/>
      <c r="Q508" s="862"/>
      <c r="R508" s="862"/>
      <c r="S508" s="862"/>
      <c r="T508" s="862"/>
      <c r="U508" s="862"/>
      <c r="V508" s="862"/>
      <c r="W508" s="862">
        <f t="shared" si="148"/>
        <v>0</v>
      </c>
      <c r="X508" s="862">
        <f t="shared" si="149"/>
        <v>79000000</v>
      </c>
      <c r="Y508" s="862">
        <f t="shared" si="150"/>
        <v>3521157000</v>
      </c>
    </row>
    <row r="509" spans="1:25" ht="24.95" customHeight="1">
      <c r="A509" s="953">
        <v>32</v>
      </c>
      <c r="B509" s="865" t="s">
        <v>1156</v>
      </c>
      <c r="C509" s="876"/>
      <c r="D509" s="870" t="s">
        <v>825</v>
      </c>
      <c r="E509" s="953">
        <v>7136250</v>
      </c>
      <c r="F509" s="862"/>
      <c r="G509" s="862">
        <v>10982317530</v>
      </c>
      <c r="H509" s="862">
        <v>181339000</v>
      </c>
      <c r="I509" s="862"/>
      <c r="J509" s="862"/>
      <c r="K509" s="862"/>
      <c r="L509" s="862"/>
      <c r="M509" s="862"/>
      <c r="N509" s="862"/>
      <c r="O509" s="862"/>
      <c r="P509" s="862"/>
      <c r="Q509" s="862"/>
      <c r="R509" s="862"/>
      <c r="S509" s="862"/>
      <c r="T509" s="862"/>
      <c r="U509" s="862"/>
      <c r="V509" s="862"/>
      <c r="W509" s="862">
        <f t="shared" si="148"/>
        <v>0</v>
      </c>
      <c r="X509" s="862">
        <f t="shared" si="149"/>
        <v>181339000</v>
      </c>
      <c r="Y509" s="862">
        <f t="shared" si="150"/>
        <v>10982317530</v>
      </c>
    </row>
    <row r="510" spans="1:25" ht="24.95" customHeight="1">
      <c r="A510" s="953">
        <v>33</v>
      </c>
      <c r="B510" s="865" t="s">
        <v>1157</v>
      </c>
      <c r="C510" s="876"/>
      <c r="D510" s="870" t="s">
        <v>825</v>
      </c>
      <c r="E510" s="953">
        <v>7147972</v>
      </c>
      <c r="F510" s="862"/>
      <c r="G510" s="862">
        <v>25426391000</v>
      </c>
      <c r="H510" s="862">
        <v>170000000</v>
      </c>
      <c r="I510" s="862"/>
      <c r="J510" s="862">
        <v>170000000</v>
      </c>
      <c r="K510" s="862"/>
      <c r="L510" s="862"/>
      <c r="M510" s="862"/>
      <c r="N510" s="862"/>
      <c r="O510" s="862"/>
      <c r="P510" s="862"/>
      <c r="Q510" s="862"/>
      <c r="R510" s="862"/>
      <c r="S510" s="862"/>
      <c r="T510" s="862"/>
      <c r="U510" s="862"/>
      <c r="V510" s="862"/>
      <c r="W510" s="862">
        <f t="shared" si="148"/>
        <v>170000000</v>
      </c>
      <c r="X510" s="862">
        <f t="shared" si="149"/>
        <v>0</v>
      </c>
      <c r="Y510" s="862">
        <f t="shared" si="150"/>
        <v>25426391000</v>
      </c>
    </row>
    <row r="511" spans="1:25" ht="24.95" customHeight="1">
      <c r="A511" s="953">
        <v>34</v>
      </c>
      <c r="B511" s="899" t="s">
        <v>1158</v>
      </c>
      <c r="C511" s="876"/>
      <c r="D511" s="870" t="s">
        <v>825</v>
      </c>
      <c r="E511" s="910">
        <v>7148575</v>
      </c>
      <c r="F511" s="862"/>
      <c r="G511" s="862">
        <v>118042309145</v>
      </c>
      <c r="H511" s="862">
        <v>253538266</v>
      </c>
      <c r="I511" s="862"/>
      <c r="J511" s="862">
        <v>253538266</v>
      </c>
      <c r="K511" s="862"/>
      <c r="L511" s="862"/>
      <c r="M511" s="862"/>
      <c r="N511" s="862"/>
      <c r="O511" s="862"/>
      <c r="P511" s="862"/>
      <c r="Q511" s="862"/>
      <c r="R511" s="862"/>
      <c r="S511" s="862"/>
      <c r="T511" s="862"/>
      <c r="U511" s="862"/>
      <c r="V511" s="862"/>
      <c r="W511" s="862">
        <f t="shared" si="148"/>
        <v>253538266</v>
      </c>
      <c r="X511" s="862">
        <f t="shared" si="149"/>
        <v>0</v>
      </c>
      <c r="Y511" s="862">
        <f t="shared" si="150"/>
        <v>118042309145</v>
      </c>
    </row>
    <row r="512" spans="1:25" ht="24.95" customHeight="1">
      <c r="A512" s="953">
        <v>35</v>
      </c>
      <c r="B512" s="865" t="s">
        <v>1159</v>
      </c>
      <c r="C512" s="876"/>
      <c r="D512" s="870" t="s">
        <v>825</v>
      </c>
      <c r="E512" s="953">
        <v>7153008</v>
      </c>
      <c r="F512" s="862"/>
      <c r="G512" s="862">
        <v>552539000</v>
      </c>
      <c r="H512" s="862">
        <v>225600000</v>
      </c>
      <c r="I512" s="862"/>
      <c r="J512" s="862"/>
      <c r="K512" s="862"/>
      <c r="L512" s="862"/>
      <c r="M512" s="862"/>
      <c r="N512" s="862"/>
      <c r="O512" s="862"/>
      <c r="P512" s="862"/>
      <c r="Q512" s="862"/>
      <c r="R512" s="862"/>
      <c r="S512" s="862"/>
      <c r="T512" s="862"/>
      <c r="U512" s="862"/>
      <c r="V512" s="862"/>
      <c r="W512" s="862">
        <f t="shared" si="148"/>
        <v>0</v>
      </c>
      <c r="X512" s="862">
        <f t="shared" si="149"/>
        <v>225600000</v>
      </c>
      <c r="Y512" s="862">
        <f t="shared" si="150"/>
        <v>552539000</v>
      </c>
    </row>
    <row r="513" spans="1:25" ht="15" customHeight="1">
      <c r="A513" s="953">
        <v>36</v>
      </c>
      <c r="B513" s="865" t="s">
        <v>1574</v>
      </c>
      <c r="C513" s="876"/>
      <c r="D513" s="870" t="s">
        <v>825</v>
      </c>
      <c r="E513" s="953">
        <v>7179518</v>
      </c>
      <c r="F513" s="862"/>
      <c r="G513" s="862">
        <v>38007004084</v>
      </c>
      <c r="H513" s="862">
        <v>429000000</v>
      </c>
      <c r="I513" s="862"/>
      <c r="J513" s="862"/>
      <c r="K513" s="862"/>
      <c r="L513" s="862"/>
      <c r="M513" s="862"/>
      <c r="N513" s="862"/>
      <c r="O513" s="862"/>
      <c r="P513" s="862"/>
      <c r="Q513" s="862"/>
      <c r="R513" s="862"/>
      <c r="S513" s="862"/>
      <c r="T513" s="862"/>
      <c r="U513" s="862"/>
      <c r="V513" s="862"/>
      <c r="W513" s="862">
        <f t="shared" si="148"/>
        <v>0</v>
      </c>
      <c r="X513" s="862">
        <f t="shared" si="149"/>
        <v>429000000</v>
      </c>
      <c r="Y513" s="862">
        <f t="shared" si="150"/>
        <v>38007004084</v>
      </c>
    </row>
    <row r="514" spans="1:25" ht="24.95" customHeight="1">
      <c r="A514" s="953">
        <v>37</v>
      </c>
      <c r="B514" s="865" t="s">
        <v>1575</v>
      </c>
      <c r="C514" s="876"/>
      <c r="D514" s="870" t="s">
        <v>825</v>
      </c>
      <c r="E514" s="953">
        <v>7191369</v>
      </c>
      <c r="F514" s="862"/>
      <c r="G514" s="862">
        <v>100000000</v>
      </c>
      <c r="H514" s="862">
        <v>100000000</v>
      </c>
      <c r="I514" s="862"/>
      <c r="J514" s="862"/>
      <c r="K514" s="862"/>
      <c r="L514" s="862"/>
      <c r="M514" s="862"/>
      <c r="N514" s="862"/>
      <c r="O514" s="862"/>
      <c r="P514" s="862"/>
      <c r="Q514" s="862"/>
      <c r="R514" s="862"/>
      <c r="S514" s="862"/>
      <c r="T514" s="862"/>
      <c r="U514" s="862"/>
      <c r="V514" s="862"/>
      <c r="W514" s="862">
        <f t="shared" si="148"/>
        <v>0</v>
      </c>
      <c r="X514" s="862">
        <f t="shared" si="149"/>
        <v>100000000</v>
      </c>
      <c r="Y514" s="862">
        <f t="shared" si="150"/>
        <v>100000000</v>
      </c>
    </row>
    <row r="515" spans="1:25" ht="24.95" customHeight="1">
      <c r="A515" s="953">
        <v>38</v>
      </c>
      <c r="B515" s="865" t="s">
        <v>1160</v>
      </c>
      <c r="C515" s="876"/>
      <c r="D515" s="870" t="s">
        <v>825</v>
      </c>
      <c r="E515" s="870">
        <v>7199192</v>
      </c>
      <c r="F515" s="862"/>
      <c r="G515" s="862">
        <v>80276562595</v>
      </c>
      <c r="H515" s="862">
        <v>988062370</v>
      </c>
      <c r="I515" s="862">
        <v>0</v>
      </c>
      <c r="J515" s="862">
        <v>767503100</v>
      </c>
      <c r="K515" s="862"/>
      <c r="L515" s="862"/>
      <c r="M515" s="862"/>
      <c r="N515" s="862"/>
      <c r="O515" s="862"/>
      <c r="P515" s="862"/>
      <c r="Q515" s="862"/>
      <c r="R515" s="862"/>
      <c r="S515" s="862"/>
      <c r="T515" s="862"/>
      <c r="U515" s="862"/>
      <c r="V515" s="862"/>
      <c r="W515" s="862">
        <f t="shared" si="148"/>
        <v>767503100</v>
      </c>
      <c r="X515" s="862">
        <f t="shared" si="149"/>
        <v>220559270</v>
      </c>
      <c r="Y515" s="862">
        <f t="shared" si="150"/>
        <v>80276562595</v>
      </c>
    </row>
    <row r="516" spans="1:25" ht="24.95" customHeight="1">
      <c r="A516" s="953">
        <v>39</v>
      </c>
      <c r="B516" s="865" t="s">
        <v>1161</v>
      </c>
      <c r="C516" s="876"/>
      <c r="D516" s="870" t="s">
        <v>825</v>
      </c>
      <c r="E516" s="953">
        <v>7207149</v>
      </c>
      <c r="F516" s="862"/>
      <c r="G516" s="862">
        <v>100000000</v>
      </c>
      <c r="H516" s="862">
        <v>100000000</v>
      </c>
      <c r="I516" s="862"/>
      <c r="J516" s="862"/>
      <c r="K516" s="862"/>
      <c r="L516" s="862"/>
      <c r="M516" s="862"/>
      <c r="N516" s="862"/>
      <c r="O516" s="862"/>
      <c r="P516" s="862"/>
      <c r="Q516" s="862"/>
      <c r="R516" s="862"/>
      <c r="S516" s="862"/>
      <c r="T516" s="862"/>
      <c r="U516" s="862"/>
      <c r="V516" s="862"/>
      <c r="W516" s="862">
        <f t="shared" si="148"/>
        <v>0</v>
      </c>
      <c r="X516" s="862">
        <f t="shared" si="149"/>
        <v>100000000</v>
      </c>
      <c r="Y516" s="862">
        <f t="shared" si="150"/>
        <v>100000000</v>
      </c>
    </row>
    <row r="517" spans="1:25" ht="24.95" customHeight="1">
      <c r="A517" s="953">
        <v>40</v>
      </c>
      <c r="B517" s="865" t="s">
        <v>1162</v>
      </c>
      <c r="C517" s="876"/>
      <c r="D517" s="870" t="s">
        <v>825</v>
      </c>
      <c r="E517" s="953">
        <v>7217485</v>
      </c>
      <c r="F517" s="862"/>
      <c r="G517" s="862">
        <v>150000000</v>
      </c>
      <c r="H517" s="862">
        <v>150000000</v>
      </c>
      <c r="I517" s="862"/>
      <c r="J517" s="862"/>
      <c r="K517" s="862"/>
      <c r="L517" s="862"/>
      <c r="M517" s="862"/>
      <c r="N517" s="862"/>
      <c r="O517" s="862"/>
      <c r="P517" s="862"/>
      <c r="Q517" s="862"/>
      <c r="R517" s="862"/>
      <c r="S517" s="862"/>
      <c r="T517" s="862"/>
      <c r="U517" s="862"/>
      <c r="V517" s="862"/>
      <c r="W517" s="862">
        <f t="shared" si="148"/>
        <v>0</v>
      </c>
      <c r="X517" s="862">
        <f t="shared" si="149"/>
        <v>150000000</v>
      </c>
      <c r="Y517" s="862">
        <f t="shared" si="150"/>
        <v>150000000</v>
      </c>
    </row>
    <row r="518" spans="1:25" ht="24.95" customHeight="1">
      <c r="A518" s="953">
        <v>41</v>
      </c>
      <c r="B518" s="865" t="s">
        <v>1576</v>
      </c>
      <c r="C518" s="876"/>
      <c r="D518" s="870" t="s">
        <v>825</v>
      </c>
      <c r="E518" s="953">
        <v>7231955</v>
      </c>
      <c r="F518" s="862"/>
      <c r="G518" s="862">
        <v>164184200</v>
      </c>
      <c r="H518" s="862">
        <v>200</v>
      </c>
      <c r="I518" s="862"/>
      <c r="J518" s="862"/>
      <c r="K518" s="862"/>
      <c r="L518" s="862"/>
      <c r="M518" s="862"/>
      <c r="N518" s="862"/>
      <c r="O518" s="862"/>
      <c r="P518" s="862"/>
      <c r="Q518" s="862"/>
      <c r="R518" s="862"/>
      <c r="S518" s="862"/>
      <c r="T518" s="862"/>
      <c r="U518" s="862"/>
      <c r="V518" s="862"/>
      <c r="W518" s="862">
        <f t="shared" si="148"/>
        <v>0</v>
      </c>
      <c r="X518" s="862">
        <f t="shared" si="149"/>
        <v>200</v>
      </c>
      <c r="Y518" s="862">
        <f t="shared" si="150"/>
        <v>164184200</v>
      </c>
    </row>
    <row r="519" spans="1:25" ht="24.95" customHeight="1">
      <c r="A519" s="953">
        <v>42</v>
      </c>
      <c r="B519" s="865" t="s">
        <v>1577</v>
      </c>
      <c r="C519" s="876"/>
      <c r="D519" s="870" t="s">
        <v>825</v>
      </c>
      <c r="E519" s="953">
        <v>7231958</v>
      </c>
      <c r="F519" s="862"/>
      <c r="G519" s="862">
        <v>479000000</v>
      </c>
      <c r="H519" s="862">
        <v>15848000</v>
      </c>
      <c r="I519" s="862"/>
      <c r="J519" s="862"/>
      <c r="K519" s="862"/>
      <c r="L519" s="862"/>
      <c r="M519" s="862"/>
      <c r="N519" s="862"/>
      <c r="O519" s="862"/>
      <c r="P519" s="862"/>
      <c r="Q519" s="862"/>
      <c r="R519" s="862"/>
      <c r="S519" s="862"/>
      <c r="T519" s="862"/>
      <c r="U519" s="862"/>
      <c r="V519" s="862"/>
      <c r="W519" s="862">
        <f t="shared" si="148"/>
        <v>0</v>
      </c>
      <c r="X519" s="862">
        <f t="shared" si="149"/>
        <v>15848000</v>
      </c>
      <c r="Y519" s="862">
        <f t="shared" si="150"/>
        <v>479000000</v>
      </c>
    </row>
    <row r="520" spans="1:25" ht="32.1" customHeight="1">
      <c r="A520" s="953">
        <v>43</v>
      </c>
      <c r="B520" s="865" t="s">
        <v>1163</v>
      </c>
      <c r="C520" s="876"/>
      <c r="D520" s="870" t="s">
        <v>825</v>
      </c>
      <c r="E520" s="953">
        <v>7231960</v>
      </c>
      <c r="F520" s="862"/>
      <c r="G520" s="862">
        <v>2688366862</v>
      </c>
      <c r="H520" s="862">
        <v>149626690</v>
      </c>
      <c r="I520" s="862"/>
      <c r="J520" s="862"/>
      <c r="K520" s="862"/>
      <c r="L520" s="862"/>
      <c r="M520" s="862"/>
      <c r="N520" s="862"/>
      <c r="O520" s="862"/>
      <c r="P520" s="862"/>
      <c r="Q520" s="862"/>
      <c r="R520" s="862"/>
      <c r="S520" s="862"/>
      <c r="T520" s="862"/>
      <c r="U520" s="862"/>
      <c r="V520" s="862"/>
      <c r="W520" s="862">
        <f t="shared" si="148"/>
        <v>0</v>
      </c>
      <c r="X520" s="862">
        <f t="shared" si="149"/>
        <v>149626690</v>
      </c>
      <c r="Y520" s="862">
        <f t="shared" si="150"/>
        <v>2688366862</v>
      </c>
    </row>
    <row r="521" spans="1:25" ht="21" customHeight="1">
      <c r="A521" s="953">
        <v>44</v>
      </c>
      <c r="B521" s="865" t="s">
        <v>1164</v>
      </c>
      <c r="C521" s="876"/>
      <c r="D521" s="870" t="s">
        <v>825</v>
      </c>
      <c r="E521" s="953">
        <v>7251844</v>
      </c>
      <c r="F521" s="862"/>
      <c r="G521" s="862">
        <v>1947146000</v>
      </c>
      <c r="H521" s="862">
        <v>1175410000</v>
      </c>
      <c r="I521" s="862"/>
      <c r="J521" s="862"/>
      <c r="K521" s="862"/>
      <c r="L521" s="862"/>
      <c r="M521" s="862"/>
      <c r="N521" s="862"/>
      <c r="O521" s="862"/>
      <c r="P521" s="862"/>
      <c r="Q521" s="862"/>
      <c r="R521" s="862"/>
      <c r="S521" s="862"/>
      <c r="T521" s="862"/>
      <c r="U521" s="862"/>
      <c r="V521" s="862"/>
      <c r="W521" s="862">
        <f t="shared" si="148"/>
        <v>0</v>
      </c>
      <c r="X521" s="862">
        <f t="shared" si="149"/>
        <v>1175410000</v>
      </c>
      <c r="Y521" s="862">
        <f t="shared" si="150"/>
        <v>1947146000</v>
      </c>
    </row>
    <row r="522" spans="1:25" ht="15" customHeight="1">
      <c r="A522" s="953">
        <v>45</v>
      </c>
      <c r="B522" s="865" t="s">
        <v>1165</v>
      </c>
      <c r="C522" s="876"/>
      <c r="D522" s="870" t="s">
        <v>825</v>
      </c>
      <c r="E522" s="953">
        <v>7252752</v>
      </c>
      <c r="F522" s="862"/>
      <c r="G522" s="862">
        <v>55000000</v>
      </c>
      <c r="H522" s="862">
        <v>30000000</v>
      </c>
      <c r="I522" s="862"/>
      <c r="J522" s="862"/>
      <c r="K522" s="862"/>
      <c r="L522" s="862"/>
      <c r="M522" s="862"/>
      <c r="N522" s="862"/>
      <c r="O522" s="862"/>
      <c r="P522" s="862"/>
      <c r="Q522" s="862"/>
      <c r="R522" s="862"/>
      <c r="S522" s="862"/>
      <c r="T522" s="862"/>
      <c r="U522" s="862"/>
      <c r="V522" s="862"/>
      <c r="W522" s="862">
        <f t="shared" si="148"/>
        <v>0</v>
      </c>
      <c r="X522" s="862">
        <f t="shared" si="149"/>
        <v>30000000</v>
      </c>
      <c r="Y522" s="862">
        <f t="shared" si="150"/>
        <v>55000000</v>
      </c>
    </row>
    <row r="523" spans="1:25" ht="15" customHeight="1">
      <c r="A523" s="953">
        <v>46</v>
      </c>
      <c r="B523" s="865" t="s">
        <v>1166</v>
      </c>
      <c r="C523" s="876"/>
      <c r="D523" s="870" t="s">
        <v>825</v>
      </c>
      <c r="E523" s="953">
        <v>7252772</v>
      </c>
      <c r="F523" s="862"/>
      <c r="G523" s="862">
        <v>108541000</v>
      </c>
      <c r="H523" s="862">
        <v>78541000</v>
      </c>
      <c r="I523" s="862"/>
      <c r="J523" s="862"/>
      <c r="K523" s="862"/>
      <c r="L523" s="862"/>
      <c r="M523" s="862"/>
      <c r="N523" s="862"/>
      <c r="O523" s="862"/>
      <c r="P523" s="862"/>
      <c r="Q523" s="862"/>
      <c r="R523" s="862"/>
      <c r="S523" s="862"/>
      <c r="T523" s="862"/>
      <c r="U523" s="862"/>
      <c r="V523" s="862"/>
      <c r="W523" s="862">
        <f t="shared" si="148"/>
        <v>0</v>
      </c>
      <c r="X523" s="862">
        <f t="shared" si="149"/>
        <v>78541000</v>
      </c>
      <c r="Y523" s="862">
        <f t="shared" si="150"/>
        <v>108541000</v>
      </c>
    </row>
    <row r="524" spans="1:25" ht="24.95" customHeight="1">
      <c r="A524" s="953">
        <v>47</v>
      </c>
      <c r="B524" s="865" t="s">
        <v>1167</v>
      </c>
      <c r="C524" s="876"/>
      <c r="D524" s="870" t="s">
        <v>825</v>
      </c>
      <c r="E524" s="953">
        <v>7252835</v>
      </c>
      <c r="F524" s="862"/>
      <c r="G524" s="862">
        <v>62842000</v>
      </c>
      <c r="H524" s="862">
        <v>8842000</v>
      </c>
      <c r="I524" s="862"/>
      <c r="J524" s="862"/>
      <c r="K524" s="862"/>
      <c r="L524" s="862"/>
      <c r="M524" s="862"/>
      <c r="N524" s="862"/>
      <c r="O524" s="862"/>
      <c r="P524" s="862"/>
      <c r="Q524" s="862"/>
      <c r="R524" s="862"/>
      <c r="S524" s="862"/>
      <c r="T524" s="862"/>
      <c r="U524" s="862"/>
      <c r="V524" s="862"/>
      <c r="W524" s="862">
        <f t="shared" si="148"/>
        <v>0</v>
      </c>
      <c r="X524" s="862">
        <f t="shared" si="149"/>
        <v>8842000</v>
      </c>
      <c r="Y524" s="862">
        <f t="shared" si="150"/>
        <v>62842000</v>
      </c>
    </row>
    <row r="525" spans="1:25" ht="15" customHeight="1">
      <c r="A525" s="953">
        <v>48</v>
      </c>
      <c r="B525" s="865" t="s">
        <v>1168</v>
      </c>
      <c r="C525" s="876"/>
      <c r="D525" s="870" t="s">
        <v>825</v>
      </c>
      <c r="E525" s="953">
        <v>7252883</v>
      </c>
      <c r="F525" s="862"/>
      <c r="G525" s="862">
        <v>86000000</v>
      </c>
      <c r="H525" s="862">
        <v>50000000</v>
      </c>
      <c r="I525" s="862"/>
      <c r="J525" s="862"/>
      <c r="K525" s="862"/>
      <c r="L525" s="862"/>
      <c r="M525" s="862"/>
      <c r="N525" s="862"/>
      <c r="O525" s="862"/>
      <c r="P525" s="862"/>
      <c r="Q525" s="862"/>
      <c r="R525" s="862"/>
      <c r="S525" s="862"/>
      <c r="T525" s="862"/>
      <c r="U525" s="862"/>
      <c r="V525" s="862"/>
      <c r="W525" s="862">
        <f t="shared" si="148"/>
        <v>0</v>
      </c>
      <c r="X525" s="862">
        <f t="shared" si="149"/>
        <v>50000000</v>
      </c>
      <c r="Y525" s="862">
        <f t="shared" si="150"/>
        <v>86000000</v>
      </c>
    </row>
    <row r="526" spans="1:25" ht="24.95" customHeight="1">
      <c r="A526" s="953">
        <v>49</v>
      </c>
      <c r="B526" s="865" t="s">
        <v>1169</v>
      </c>
      <c r="C526" s="876"/>
      <c r="D526" s="870" t="s">
        <v>825</v>
      </c>
      <c r="E526" s="953">
        <v>7252966</v>
      </c>
      <c r="F526" s="862"/>
      <c r="G526" s="862">
        <v>2822267000</v>
      </c>
      <c r="H526" s="862">
        <v>70000000</v>
      </c>
      <c r="I526" s="862"/>
      <c r="J526" s="862"/>
      <c r="K526" s="862"/>
      <c r="L526" s="862"/>
      <c r="M526" s="862"/>
      <c r="N526" s="862"/>
      <c r="O526" s="862"/>
      <c r="P526" s="862"/>
      <c r="Q526" s="862"/>
      <c r="R526" s="862"/>
      <c r="S526" s="862"/>
      <c r="T526" s="862"/>
      <c r="U526" s="862"/>
      <c r="V526" s="862"/>
      <c r="W526" s="862">
        <f t="shared" si="148"/>
        <v>0</v>
      </c>
      <c r="X526" s="862">
        <f t="shared" si="149"/>
        <v>70000000</v>
      </c>
      <c r="Y526" s="862">
        <f t="shared" si="150"/>
        <v>2822267000</v>
      </c>
    </row>
    <row r="527" spans="1:25" ht="24.95" customHeight="1">
      <c r="A527" s="953">
        <v>50</v>
      </c>
      <c r="B527" s="865" t="s">
        <v>1170</v>
      </c>
      <c r="C527" s="876"/>
      <c r="D527" s="870" t="s">
        <v>825</v>
      </c>
      <c r="E527" s="953">
        <v>7252990</v>
      </c>
      <c r="F527" s="862"/>
      <c r="G527" s="862">
        <v>71833000</v>
      </c>
      <c r="H527" s="862">
        <v>28833000</v>
      </c>
      <c r="I527" s="862"/>
      <c r="J527" s="862"/>
      <c r="K527" s="862"/>
      <c r="L527" s="862"/>
      <c r="M527" s="862"/>
      <c r="N527" s="862"/>
      <c r="O527" s="862"/>
      <c r="P527" s="862"/>
      <c r="Q527" s="862"/>
      <c r="R527" s="862"/>
      <c r="S527" s="862"/>
      <c r="T527" s="862"/>
      <c r="U527" s="862"/>
      <c r="V527" s="862"/>
      <c r="W527" s="862">
        <f t="shared" si="148"/>
        <v>0</v>
      </c>
      <c r="X527" s="862">
        <f t="shared" si="149"/>
        <v>28833000</v>
      </c>
      <c r="Y527" s="862">
        <f t="shared" si="150"/>
        <v>71833000</v>
      </c>
    </row>
    <row r="528" spans="1:25" ht="24.95" customHeight="1">
      <c r="A528" s="953">
        <v>51</v>
      </c>
      <c r="B528" s="865" t="s">
        <v>1171</v>
      </c>
      <c r="C528" s="876"/>
      <c r="D528" s="870" t="s">
        <v>825</v>
      </c>
      <c r="E528" s="953">
        <v>7253276</v>
      </c>
      <c r="F528" s="862"/>
      <c r="G528" s="862">
        <v>30000000</v>
      </c>
      <c r="H528" s="862">
        <v>30000000</v>
      </c>
      <c r="I528" s="862"/>
      <c r="J528" s="862"/>
      <c r="K528" s="862"/>
      <c r="L528" s="862"/>
      <c r="M528" s="862"/>
      <c r="N528" s="862"/>
      <c r="O528" s="862"/>
      <c r="P528" s="862"/>
      <c r="Q528" s="862"/>
      <c r="R528" s="862"/>
      <c r="S528" s="862"/>
      <c r="T528" s="862"/>
      <c r="U528" s="862"/>
      <c r="V528" s="862"/>
      <c r="W528" s="862">
        <f t="shared" si="148"/>
        <v>0</v>
      </c>
      <c r="X528" s="862">
        <f t="shared" si="149"/>
        <v>30000000</v>
      </c>
      <c r="Y528" s="862">
        <f t="shared" si="150"/>
        <v>30000000</v>
      </c>
    </row>
    <row r="529" spans="1:25" ht="24.95" customHeight="1">
      <c r="A529" s="953">
        <v>52</v>
      </c>
      <c r="B529" s="865" t="s">
        <v>1172</v>
      </c>
      <c r="C529" s="876"/>
      <c r="D529" s="870" t="s">
        <v>825</v>
      </c>
      <c r="E529" s="953">
        <v>7254297</v>
      </c>
      <c r="F529" s="862"/>
      <c r="G529" s="862">
        <v>40000000</v>
      </c>
      <c r="H529" s="862">
        <v>40000000</v>
      </c>
      <c r="I529" s="862"/>
      <c r="J529" s="862"/>
      <c r="K529" s="862"/>
      <c r="L529" s="862"/>
      <c r="M529" s="862"/>
      <c r="N529" s="862"/>
      <c r="O529" s="862"/>
      <c r="P529" s="862"/>
      <c r="Q529" s="862"/>
      <c r="R529" s="862"/>
      <c r="S529" s="862"/>
      <c r="T529" s="862"/>
      <c r="U529" s="862"/>
      <c r="V529" s="862"/>
      <c r="W529" s="862">
        <f t="shared" si="148"/>
        <v>0</v>
      </c>
      <c r="X529" s="862">
        <f t="shared" si="149"/>
        <v>40000000</v>
      </c>
      <c r="Y529" s="862">
        <f t="shared" si="150"/>
        <v>40000000</v>
      </c>
    </row>
    <row r="530" spans="1:25" ht="24.95" customHeight="1">
      <c r="A530" s="953">
        <v>53</v>
      </c>
      <c r="B530" s="865" t="s">
        <v>1550</v>
      </c>
      <c r="C530" s="876"/>
      <c r="D530" s="870" t="s">
        <v>825</v>
      </c>
      <c r="E530" s="953">
        <v>7254301</v>
      </c>
      <c r="F530" s="862"/>
      <c r="G530" s="862">
        <v>150000000</v>
      </c>
      <c r="H530" s="862">
        <v>150000000</v>
      </c>
      <c r="I530" s="862"/>
      <c r="J530" s="862"/>
      <c r="K530" s="862"/>
      <c r="L530" s="862"/>
      <c r="M530" s="862"/>
      <c r="N530" s="862"/>
      <c r="O530" s="862"/>
      <c r="P530" s="862"/>
      <c r="Q530" s="862"/>
      <c r="R530" s="862"/>
      <c r="S530" s="862"/>
      <c r="T530" s="862"/>
      <c r="U530" s="862"/>
      <c r="V530" s="862"/>
      <c r="W530" s="862">
        <f t="shared" si="148"/>
        <v>0</v>
      </c>
      <c r="X530" s="862">
        <f t="shared" si="149"/>
        <v>150000000</v>
      </c>
      <c r="Y530" s="862">
        <f t="shared" si="150"/>
        <v>150000000</v>
      </c>
    </row>
    <row r="531" spans="1:25" ht="24.95" customHeight="1">
      <c r="A531" s="953">
        <v>54</v>
      </c>
      <c r="B531" s="865" t="s">
        <v>1173</v>
      </c>
      <c r="C531" s="876"/>
      <c r="D531" s="870" t="s">
        <v>825</v>
      </c>
      <c r="E531" s="953">
        <v>7254314</v>
      </c>
      <c r="F531" s="862"/>
      <c r="G531" s="862">
        <v>54313000000</v>
      </c>
      <c r="H531" s="862">
        <v>34313000</v>
      </c>
      <c r="I531" s="862"/>
      <c r="J531" s="862"/>
      <c r="K531" s="862"/>
      <c r="L531" s="862"/>
      <c r="M531" s="862"/>
      <c r="N531" s="862"/>
      <c r="O531" s="862"/>
      <c r="P531" s="862"/>
      <c r="Q531" s="862"/>
      <c r="R531" s="862"/>
      <c r="S531" s="862"/>
      <c r="T531" s="862"/>
      <c r="U531" s="862"/>
      <c r="V531" s="862"/>
      <c r="W531" s="862">
        <f t="shared" ref="W531:W638" si="156">J531+M531+S531</f>
        <v>0</v>
      </c>
      <c r="X531" s="862">
        <f t="shared" ref="X531:X638" si="157">H531-I531-J531+N531+T531</f>
        <v>34313000</v>
      </c>
      <c r="Y531" s="862">
        <f t="shared" ref="Y531:Y638" si="158">G531+L531+R531</f>
        <v>54313000000</v>
      </c>
    </row>
    <row r="532" spans="1:25" ht="24.95" customHeight="1">
      <c r="A532" s="953">
        <v>55</v>
      </c>
      <c r="B532" s="865" t="s">
        <v>1174</v>
      </c>
      <c r="C532" s="876"/>
      <c r="D532" s="870" t="s">
        <v>825</v>
      </c>
      <c r="E532" s="953">
        <v>7254357</v>
      </c>
      <c r="F532" s="862"/>
      <c r="G532" s="862">
        <v>10319071500</v>
      </c>
      <c r="H532" s="862">
        <v>36543000</v>
      </c>
      <c r="I532" s="862"/>
      <c r="J532" s="862"/>
      <c r="K532" s="862"/>
      <c r="L532" s="862"/>
      <c r="M532" s="862"/>
      <c r="N532" s="862"/>
      <c r="O532" s="862"/>
      <c r="P532" s="862"/>
      <c r="Q532" s="862"/>
      <c r="R532" s="862"/>
      <c r="S532" s="862"/>
      <c r="T532" s="862"/>
      <c r="U532" s="862"/>
      <c r="V532" s="862"/>
      <c r="W532" s="862">
        <f t="shared" si="156"/>
        <v>0</v>
      </c>
      <c r="X532" s="862">
        <f t="shared" si="157"/>
        <v>36543000</v>
      </c>
      <c r="Y532" s="862">
        <f t="shared" si="158"/>
        <v>10319071500</v>
      </c>
    </row>
    <row r="533" spans="1:25" ht="24.95" customHeight="1">
      <c r="A533" s="953">
        <v>56</v>
      </c>
      <c r="B533" s="865" t="s">
        <v>1175</v>
      </c>
      <c r="C533" s="876"/>
      <c r="D533" s="870" t="s">
        <v>825</v>
      </c>
      <c r="E533" s="953">
        <v>7254358</v>
      </c>
      <c r="F533" s="862"/>
      <c r="G533" s="862">
        <v>50000000</v>
      </c>
      <c r="H533" s="862">
        <v>50000000</v>
      </c>
      <c r="I533" s="862"/>
      <c r="J533" s="862"/>
      <c r="K533" s="862"/>
      <c r="L533" s="862"/>
      <c r="M533" s="862"/>
      <c r="N533" s="862"/>
      <c r="O533" s="862"/>
      <c r="P533" s="862"/>
      <c r="Q533" s="862"/>
      <c r="R533" s="862"/>
      <c r="S533" s="862"/>
      <c r="T533" s="862"/>
      <c r="U533" s="862"/>
      <c r="V533" s="862"/>
      <c r="W533" s="862">
        <f t="shared" si="156"/>
        <v>0</v>
      </c>
      <c r="X533" s="862">
        <f t="shared" si="157"/>
        <v>50000000</v>
      </c>
      <c r="Y533" s="862">
        <f t="shared" si="158"/>
        <v>50000000</v>
      </c>
    </row>
    <row r="534" spans="1:25" ht="15" customHeight="1">
      <c r="A534" s="953">
        <v>57</v>
      </c>
      <c r="B534" s="865" t="s">
        <v>1176</v>
      </c>
      <c r="C534" s="876"/>
      <c r="D534" s="870" t="s">
        <v>825</v>
      </c>
      <c r="E534" s="953">
        <v>7254359</v>
      </c>
      <c r="F534" s="862"/>
      <c r="G534" s="862">
        <v>183462000</v>
      </c>
      <c r="H534" s="862">
        <v>85000000</v>
      </c>
      <c r="I534" s="862"/>
      <c r="J534" s="862"/>
      <c r="K534" s="862"/>
      <c r="L534" s="862"/>
      <c r="M534" s="862"/>
      <c r="N534" s="862"/>
      <c r="O534" s="862"/>
      <c r="P534" s="862"/>
      <c r="Q534" s="862"/>
      <c r="R534" s="862"/>
      <c r="S534" s="862"/>
      <c r="T534" s="862"/>
      <c r="U534" s="862"/>
      <c r="V534" s="862"/>
      <c r="W534" s="862">
        <f t="shared" si="156"/>
        <v>0</v>
      </c>
      <c r="X534" s="862">
        <f t="shared" si="157"/>
        <v>85000000</v>
      </c>
      <c r="Y534" s="862">
        <f t="shared" si="158"/>
        <v>183462000</v>
      </c>
    </row>
    <row r="535" spans="1:25" ht="24.95" customHeight="1">
      <c r="A535" s="953">
        <v>58</v>
      </c>
      <c r="B535" s="865" t="s">
        <v>1177</v>
      </c>
      <c r="C535" s="876"/>
      <c r="D535" s="870" t="s">
        <v>825</v>
      </c>
      <c r="E535" s="953">
        <v>7254360</v>
      </c>
      <c r="F535" s="862"/>
      <c r="G535" s="862">
        <v>490000000</v>
      </c>
      <c r="H535" s="862">
        <v>490000000</v>
      </c>
      <c r="I535" s="862"/>
      <c r="J535" s="862"/>
      <c r="K535" s="862"/>
      <c r="L535" s="862"/>
      <c r="M535" s="862"/>
      <c r="N535" s="862"/>
      <c r="O535" s="862"/>
      <c r="P535" s="862"/>
      <c r="Q535" s="862"/>
      <c r="R535" s="862"/>
      <c r="S535" s="862"/>
      <c r="T535" s="862"/>
      <c r="U535" s="862"/>
      <c r="V535" s="862"/>
      <c r="W535" s="862">
        <f t="shared" si="156"/>
        <v>0</v>
      </c>
      <c r="X535" s="862">
        <f t="shared" si="157"/>
        <v>490000000</v>
      </c>
      <c r="Y535" s="862">
        <f t="shared" si="158"/>
        <v>490000000</v>
      </c>
    </row>
    <row r="536" spans="1:25" ht="24.95" customHeight="1">
      <c r="A536" s="953">
        <v>59</v>
      </c>
      <c r="B536" s="899" t="s">
        <v>1178</v>
      </c>
      <c r="C536" s="876"/>
      <c r="D536" s="870" t="s">
        <v>825</v>
      </c>
      <c r="E536" s="910">
        <v>7261802</v>
      </c>
      <c r="F536" s="862"/>
      <c r="G536" s="862">
        <v>750000000</v>
      </c>
      <c r="H536" s="862">
        <v>18261000</v>
      </c>
      <c r="I536" s="862"/>
      <c r="J536" s="862">
        <v>18261000</v>
      </c>
      <c r="K536" s="862"/>
      <c r="L536" s="862"/>
      <c r="M536" s="862"/>
      <c r="N536" s="862"/>
      <c r="O536" s="862"/>
      <c r="P536" s="862"/>
      <c r="Q536" s="862"/>
      <c r="R536" s="862"/>
      <c r="S536" s="862"/>
      <c r="T536" s="862"/>
      <c r="U536" s="862"/>
      <c r="V536" s="862"/>
      <c r="W536" s="862">
        <f t="shared" si="156"/>
        <v>18261000</v>
      </c>
      <c r="X536" s="862">
        <f t="shared" si="157"/>
        <v>0</v>
      </c>
      <c r="Y536" s="862">
        <f t="shared" si="158"/>
        <v>750000000</v>
      </c>
    </row>
    <row r="537" spans="1:25" ht="42" customHeight="1">
      <c r="A537" s="953">
        <v>60</v>
      </c>
      <c r="B537" s="865" t="s">
        <v>1179</v>
      </c>
      <c r="C537" s="876"/>
      <c r="D537" s="870" t="s">
        <v>825</v>
      </c>
      <c r="E537" s="870">
        <v>7347127</v>
      </c>
      <c r="F537" s="862"/>
      <c r="G537" s="862">
        <v>15225975000</v>
      </c>
      <c r="H537" s="862">
        <v>111215000</v>
      </c>
      <c r="I537" s="862">
        <v>31644000</v>
      </c>
      <c r="J537" s="862">
        <v>79571000</v>
      </c>
      <c r="K537" s="862"/>
      <c r="L537" s="862"/>
      <c r="M537" s="862"/>
      <c r="N537" s="862"/>
      <c r="O537" s="862"/>
      <c r="P537" s="862"/>
      <c r="Q537" s="862"/>
      <c r="R537" s="862"/>
      <c r="S537" s="862"/>
      <c r="T537" s="862"/>
      <c r="U537" s="862"/>
      <c r="V537" s="862"/>
      <c r="W537" s="862">
        <f t="shared" si="156"/>
        <v>79571000</v>
      </c>
      <c r="X537" s="862">
        <f t="shared" si="157"/>
        <v>0</v>
      </c>
      <c r="Y537" s="862">
        <f t="shared" si="158"/>
        <v>15225975000</v>
      </c>
    </row>
    <row r="538" spans="1:25" ht="15" customHeight="1">
      <c r="A538" s="953">
        <v>61</v>
      </c>
      <c r="B538" s="865" t="s">
        <v>1180</v>
      </c>
      <c r="C538" s="876"/>
      <c r="D538" s="870" t="s">
        <v>825</v>
      </c>
      <c r="E538" s="953">
        <v>7358582</v>
      </c>
      <c r="F538" s="862"/>
      <c r="G538" s="862">
        <v>9581356000</v>
      </c>
      <c r="H538" s="862">
        <v>398916000</v>
      </c>
      <c r="I538" s="862"/>
      <c r="J538" s="862"/>
      <c r="K538" s="862"/>
      <c r="L538" s="862"/>
      <c r="M538" s="862"/>
      <c r="N538" s="862"/>
      <c r="O538" s="862"/>
      <c r="P538" s="862"/>
      <c r="Q538" s="862"/>
      <c r="R538" s="862"/>
      <c r="S538" s="862"/>
      <c r="T538" s="862"/>
      <c r="U538" s="862"/>
      <c r="V538" s="862"/>
      <c r="W538" s="862">
        <f t="shared" si="156"/>
        <v>0</v>
      </c>
      <c r="X538" s="862">
        <f t="shared" si="157"/>
        <v>398916000</v>
      </c>
      <c r="Y538" s="862">
        <f t="shared" si="158"/>
        <v>9581356000</v>
      </c>
    </row>
    <row r="539" spans="1:25" ht="32.1" customHeight="1">
      <c r="A539" s="953">
        <v>62</v>
      </c>
      <c r="B539" s="865" t="s">
        <v>1181</v>
      </c>
      <c r="C539" s="876"/>
      <c r="D539" s="870" t="s">
        <v>825</v>
      </c>
      <c r="E539" s="870">
        <v>7371237</v>
      </c>
      <c r="F539" s="862"/>
      <c r="G539" s="862">
        <v>16469141800</v>
      </c>
      <c r="H539" s="862">
        <v>1352431914</v>
      </c>
      <c r="I539" s="862"/>
      <c r="J539" s="862">
        <v>1234596914</v>
      </c>
      <c r="K539" s="862"/>
      <c r="L539" s="862"/>
      <c r="M539" s="862"/>
      <c r="N539" s="862"/>
      <c r="O539" s="862"/>
      <c r="P539" s="862"/>
      <c r="Q539" s="862"/>
      <c r="R539" s="862"/>
      <c r="S539" s="862"/>
      <c r="T539" s="862"/>
      <c r="U539" s="862"/>
      <c r="V539" s="862"/>
      <c r="W539" s="862">
        <f t="shared" si="156"/>
        <v>1234596914</v>
      </c>
      <c r="X539" s="862">
        <f t="shared" si="157"/>
        <v>117835000</v>
      </c>
      <c r="Y539" s="862">
        <f t="shared" si="158"/>
        <v>16469141800</v>
      </c>
    </row>
    <row r="540" spans="1:25" ht="24.95" customHeight="1">
      <c r="A540" s="953">
        <v>63</v>
      </c>
      <c r="B540" s="865" t="s">
        <v>559</v>
      </c>
      <c r="C540" s="876"/>
      <c r="D540" s="870" t="s">
        <v>825</v>
      </c>
      <c r="E540" s="870">
        <v>7377895</v>
      </c>
      <c r="F540" s="862"/>
      <c r="G540" s="862">
        <v>42806669982</v>
      </c>
      <c r="H540" s="862">
        <v>130668046</v>
      </c>
      <c r="I540" s="862">
        <v>110000000</v>
      </c>
      <c r="J540" s="862">
        <v>10721571</v>
      </c>
      <c r="K540" s="862"/>
      <c r="L540" s="862"/>
      <c r="M540" s="862"/>
      <c r="N540" s="862"/>
      <c r="O540" s="862"/>
      <c r="P540" s="862"/>
      <c r="Q540" s="862"/>
      <c r="R540" s="862"/>
      <c r="S540" s="862"/>
      <c r="T540" s="862"/>
      <c r="U540" s="862"/>
      <c r="V540" s="862"/>
      <c r="W540" s="862">
        <f t="shared" si="156"/>
        <v>10721571</v>
      </c>
      <c r="X540" s="862">
        <f t="shared" si="157"/>
        <v>9946475</v>
      </c>
      <c r="Y540" s="862">
        <f t="shared" si="158"/>
        <v>42806669982</v>
      </c>
    </row>
    <row r="541" spans="1:25" ht="24.95" customHeight="1">
      <c r="A541" s="953">
        <v>64</v>
      </c>
      <c r="B541" s="865" t="s">
        <v>1578</v>
      </c>
      <c r="C541" s="876"/>
      <c r="D541" s="870" t="s">
        <v>825</v>
      </c>
      <c r="E541" s="953">
        <v>7421407</v>
      </c>
      <c r="F541" s="862"/>
      <c r="G541" s="862">
        <v>1242650000</v>
      </c>
      <c r="H541" s="862">
        <v>148000000</v>
      </c>
      <c r="I541" s="862"/>
      <c r="J541" s="862"/>
      <c r="K541" s="862"/>
      <c r="L541" s="862"/>
      <c r="M541" s="862"/>
      <c r="N541" s="862"/>
      <c r="O541" s="862"/>
      <c r="P541" s="862"/>
      <c r="Q541" s="862"/>
      <c r="R541" s="862"/>
      <c r="S541" s="862"/>
      <c r="T541" s="862"/>
      <c r="U541" s="862"/>
      <c r="V541" s="862"/>
      <c r="W541" s="862">
        <f t="shared" si="156"/>
        <v>0</v>
      </c>
      <c r="X541" s="862">
        <f t="shared" si="157"/>
        <v>148000000</v>
      </c>
      <c r="Y541" s="862">
        <f t="shared" si="158"/>
        <v>1242650000</v>
      </c>
    </row>
    <row r="542" spans="1:25" ht="24.95" customHeight="1">
      <c r="A542" s="953">
        <v>65</v>
      </c>
      <c r="B542" s="865" t="s">
        <v>1579</v>
      </c>
      <c r="C542" s="876"/>
      <c r="D542" s="870" t="s">
        <v>825</v>
      </c>
      <c r="E542" s="870">
        <v>7457160</v>
      </c>
      <c r="F542" s="862"/>
      <c r="G542" s="862">
        <v>180399999422</v>
      </c>
      <c r="H542" s="862">
        <v>7212979000</v>
      </c>
      <c r="I542" s="862"/>
      <c r="J542" s="862">
        <f>3042979000-1712979000</f>
        <v>1330000000</v>
      </c>
      <c r="K542" s="862"/>
      <c r="L542" s="862"/>
      <c r="M542" s="862"/>
      <c r="N542" s="862"/>
      <c r="O542" s="862"/>
      <c r="P542" s="862"/>
      <c r="Q542" s="862"/>
      <c r="R542" s="862"/>
      <c r="S542" s="862"/>
      <c r="T542" s="862"/>
      <c r="U542" s="862"/>
      <c r="V542" s="862"/>
      <c r="W542" s="862">
        <f t="shared" si="156"/>
        <v>1330000000</v>
      </c>
      <c r="X542" s="862">
        <f t="shared" si="157"/>
        <v>5882979000</v>
      </c>
      <c r="Y542" s="862">
        <f t="shared" si="158"/>
        <v>180399999422</v>
      </c>
    </row>
    <row r="543" spans="1:25" ht="32.1" customHeight="1">
      <c r="A543" s="953">
        <v>66</v>
      </c>
      <c r="B543" s="865" t="s">
        <v>1182</v>
      </c>
      <c r="C543" s="876"/>
      <c r="D543" s="870" t="s">
        <v>825</v>
      </c>
      <c r="E543" s="870">
        <v>7472270</v>
      </c>
      <c r="F543" s="862"/>
      <c r="G543" s="862">
        <v>17654000000</v>
      </c>
      <c r="H543" s="862">
        <v>1312441000</v>
      </c>
      <c r="I543" s="862"/>
      <c r="J543" s="862">
        <v>669126000</v>
      </c>
      <c r="K543" s="862"/>
      <c r="L543" s="862"/>
      <c r="M543" s="862"/>
      <c r="N543" s="862"/>
      <c r="O543" s="862"/>
      <c r="P543" s="862"/>
      <c r="Q543" s="862"/>
      <c r="R543" s="862"/>
      <c r="S543" s="862"/>
      <c r="T543" s="862"/>
      <c r="U543" s="862"/>
      <c r="V543" s="862"/>
      <c r="W543" s="862">
        <f t="shared" si="156"/>
        <v>669126000</v>
      </c>
      <c r="X543" s="862">
        <f t="shared" si="157"/>
        <v>643315000</v>
      </c>
      <c r="Y543" s="862">
        <f t="shared" si="158"/>
        <v>17654000000</v>
      </c>
    </row>
    <row r="544" spans="1:25" ht="24.95" customHeight="1">
      <c r="A544" s="953">
        <v>67</v>
      </c>
      <c r="B544" s="899" t="s">
        <v>27</v>
      </c>
      <c r="C544" s="876"/>
      <c r="D544" s="870" t="s">
        <v>825</v>
      </c>
      <c r="E544" s="870" t="s">
        <v>28</v>
      </c>
      <c r="F544" s="862"/>
      <c r="G544" s="862">
        <v>26517900000</v>
      </c>
      <c r="H544" s="862">
        <v>2976768000</v>
      </c>
      <c r="I544" s="862"/>
      <c r="J544" s="862">
        <v>2670030000</v>
      </c>
      <c r="K544" s="862"/>
      <c r="L544" s="862"/>
      <c r="M544" s="862"/>
      <c r="N544" s="862"/>
      <c r="O544" s="862"/>
      <c r="P544" s="862"/>
      <c r="Q544" s="862"/>
      <c r="R544" s="862"/>
      <c r="S544" s="862"/>
      <c r="T544" s="862"/>
      <c r="U544" s="862"/>
      <c r="V544" s="862"/>
      <c r="W544" s="862">
        <f t="shared" si="156"/>
        <v>2670030000</v>
      </c>
      <c r="X544" s="862">
        <f t="shared" si="157"/>
        <v>306738000</v>
      </c>
      <c r="Y544" s="862">
        <f t="shared" si="158"/>
        <v>26517900000</v>
      </c>
    </row>
    <row r="545" spans="1:25" ht="24.95" customHeight="1">
      <c r="A545" s="953">
        <v>68</v>
      </c>
      <c r="B545" s="899" t="s">
        <v>1183</v>
      </c>
      <c r="C545" s="876"/>
      <c r="D545" s="870" t="s">
        <v>825</v>
      </c>
      <c r="E545" s="910" t="s">
        <v>1184</v>
      </c>
      <c r="F545" s="862"/>
      <c r="G545" s="862">
        <v>196000000</v>
      </c>
      <c r="H545" s="862">
        <v>196000000</v>
      </c>
      <c r="I545" s="862">
        <v>6541000</v>
      </c>
      <c r="J545" s="862">
        <v>189459000</v>
      </c>
      <c r="K545" s="862"/>
      <c r="L545" s="862"/>
      <c r="M545" s="862"/>
      <c r="N545" s="862"/>
      <c r="O545" s="862"/>
      <c r="P545" s="862"/>
      <c r="Q545" s="862"/>
      <c r="R545" s="862"/>
      <c r="S545" s="862"/>
      <c r="T545" s="862"/>
      <c r="U545" s="862"/>
      <c r="V545" s="862"/>
      <c r="W545" s="862">
        <f t="shared" si="156"/>
        <v>189459000</v>
      </c>
      <c r="X545" s="862">
        <f t="shared" si="157"/>
        <v>0</v>
      </c>
      <c r="Y545" s="862">
        <f t="shared" si="158"/>
        <v>196000000</v>
      </c>
    </row>
    <row r="546" spans="1:25" ht="32.1" customHeight="1">
      <c r="A546" s="953">
        <v>69</v>
      </c>
      <c r="B546" s="909" t="s">
        <v>19</v>
      </c>
      <c r="C546" s="876"/>
      <c r="D546" s="870" t="s">
        <v>825</v>
      </c>
      <c r="E546" s="955" t="s">
        <v>20</v>
      </c>
      <c r="F546" s="862"/>
      <c r="G546" s="862">
        <v>176036437703</v>
      </c>
      <c r="H546" s="862">
        <v>40294000</v>
      </c>
      <c r="I546" s="862"/>
      <c r="J546" s="862">
        <v>11087052</v>
      </c>
      <c r="K546" s="862"/>
      <c r="L546" s="862"/>
      <c r="M546" s="862"/>
      <c r="N546" s="862"/>
      <c r="O546" s="862"/>
      <c r="P546" s="862"/>
      <c r="Q546" s="862"/>
      <c r="R546" s="862"/>
      <c r="S546" s="862"/>
      <c r="T546" s="862"/>
      <c r="U546" s="862"/>
      <c r="V546" s="862"/>
      <c r="W546" s="862">
        <f t="shared" si="156"/>
        <v>11087052</v>
      </c>
      <c r="X546" s="862">
        <f t="shared" si="157"/>
        <v>29206948</v>
      </c>
      <c r="Y546" s="862">
        <f t="shared" si="158"/>
        <v>176036437703</v>
      </c>
    </row>
    <row r="547" spans="1:25" ht="32.1" customHeight="1">
      <c r="A547" s="953">
        <v>70</v>
      </c>
      <c r="B547" s="909" t="s">
        <v>12</v>
      </c>
      <c r="C547" s="876"/>
      <c r="D547" s="870" t="s">
        <v>825</v>
      </c>
      <c r="E547" s="870" t="s">
        <v>13</v>
      </c>
      <c r="F547" s="862"/>
      <c r="G547" s="862">
        <v>12302000000</v>
      </c>
      <c r="H547" s="862">
        <v>130507000</v>
      </c>
      <c r="I547" s="862"/>
      <c r="J547" s="862">
        <v>130507000</v>
      </c>
      <c r="K547" s="862"/>
      <c r="L547" s="862"/>
      <c r="M547" s="862"/>
      <c r="N547" s="862"/>
      <c r="O547" s="862"/>
      <c r="P547" s="862"/>
      <c r="Q547" s="862"/>
      <c r="R547" s="862"/>
      <c r="S547" s="862"/>
      <c r="T547" s="862"/>
      <c r="U547" s="862"/>
      <c r="V547" s="862"/>
      <c r="W547" s="862">
        <f t="shared" si="156"/>
        <v>130507000</v>
      </c>
      <c r="X547" s="862">
        <f t="shared" si="157"/>
        <v>0</v>
      </c>
      <c r="Y547" s="862">
        <f t="shared" si="158"/>
        <v>12302000000</v>
      </c>
    </row>
    <row r="548" spans="1:25" ht="15" customHeight="1">
      <c r="A548" s="951" t="s">
        <v>112</v>
      </c>
      <c r="B548" s="928" t="s">
        <v>929</v>
      </c>
      <c r="C548" s="876"/>
      <c r="D548" s="870"/>
      <c r="E548" s="951"/>
      <c r="F548" s="884">
        <f t="shared" ref="F548:Y548" si="159">SUM(F549:F606)</f>
        <v>0</v>
      </c>
      <c r="G548" s="884">
        <f t="shared" si="159"/>
        <v>1272640853068</v>
      </c>
      <c r="H548" s="884">
        <f t="shared" si="159"/>
        <v>43839163678</v>
      </c>
      <c r="I548" s="884">
        <f t="shared" si="159"/>
        <v>544134612</v>
      </c>
      <c r="J548" s="884">
        <f t="shared" si="159"/>
        <v>31569016608</v>
      </c>
      <c r="K548" s="884">
        <f t="shared" si="159"/>
        <v>0</v>
      </c>
      <c r="L548" s="884">
        <f t="shared" si="159"/>
        <v>0</v>
      </c>
      <c r="M548" s="884">
        <f t="shared" si="159"/>
        <v>0</v>
      </c>
      <c r="N548" s="884">
        <f t="shared" si="159"/>
        <v>0</v>
      </c>
      <c r="O548" s="884">
        <f t="shared" si="159"/>
        <v>0</v>
      </c>
      <c r="P548" s="884">
        <f t="shared" si="159"/>
        <v>0</v>
      </c>
      <c r="Q548" s="884">
        <f t="shared" si="159"/>
        <v>0</v>
      </c>
      <c r="R548" s="884">
        <f t="shared" si="159"/>
        <v>0</v>
      </c>
      <c r="S548" s="884">
        <f t="shared" si="159"/>
        <v>0</v>
      </c>
      <c r="T548" s="884">
        <f t="shared" si="159"/>
        <v>0</v>
      </c>
      <c r="U548" s="884">
        <f t="shared" si="159"/>
        <v>0</v>
      </c>
      <c r="V548" s="884">
        <f t="shared" si="159"/>
        <v>0</v>
      </c>
      <c r="W548" s="884">
        <f t="shared" si="159"/>
        <v>31569016608</v>
      </c>
      <c r="X548" s="884">
        <f t="shared" si="159"/>
        <v>11726012458</v>
      </c>
      <c r="Y548" s="884">
        <f t="shared" si="159"/>
        <v>1272640853068</v>
      </c>
    </row>
    <row r="549" spans="1:25" ht="24.95" customHeight="1">
      <c r="A549" s="953">
        <v>1</v>
      </c>
      <c r="B549" s="909" t="s">
        <v>599</v>
      </c>
      <c r="C549" s="876"/>
      <c r="D549" s="870" t="s">
        <v>825</v>
      </c>
      <c r="E549" s="898">
        <v>7003165</v>
      </c>
      <c r="F549" s="862"/>
      <c r="G549" s="862">
        <v>87425996000</v>
      </c>
      <c r="H549" s="862">
        <v>346000000</v>
      </c>
      <c r="I549" s="862"/>
      <c r="J549" s="862"/>
      <c r="K549" s="862"/>
      <c r="L549" s="862"/>
      <c r="M549" s="862"/>
      <c r="N549" s="862"/>
      <c r="O549" s="862"/>
      <c r="P549" s="862"/>
      <c r="Q549" s="862"/>
      <c r="R549" s="862"/>
      <c r="S549" s="862"/>
      <c r="T549" s="862"/>
      <c r="U549" s="862"/>
      <c r="V549" s="862"/>
      <c r="W549" s="862">
        <f t="shared" ref="W549:W606" si="160">J549+M549+S549</f>
        <v>0</v>
      </c>
      <c r="X549" s="862">
        <f t="shared" ref="X549:X606" si="161">H549-I549-J549+N549+T549</f>
        <v>346000000</v>
      </c>
      <c r="Y549" s="862">
        <f t="shared" ref="Y549:Y606" si="162">G549+L549+R549</f>
        <v>87425996000</v>
      </c>
    </row>
    <row r="550" spans="1:25" ht="24.95" customHeight="1">
      <c r="A550" s="953">
        <v>2</v>
      </c>
      <c r="B550" s="865" t="s">
        <v>1185</v>
      </c>
      <c r="C550" s="876"/>
      <c r="D550" s="870" t="s">
        <v>825</v>
      </c>
      <c r="E550" s="953">
        <v>7007247</v>
      </c>
      <c r="F550" s="862"/>
      <c r="G550" s="862">
        <v>2999998000</v>
      </c>
      <c r="H550" s="862">
        <v>2999998600</v>
      </c>
      <c r="I550" s="862"/>
      <c r="J550" s="862"/>
      <c r="K550" s="862"/>
      <c r="L550" s="862"/>
      <c r="M550" s="862"/>
      <c r="N550" s="862"/>
      <c r="O550" s="862"/>
      <c r="P550" s="862"/>
      <c r="Q550" s="862"/>
      <c r="R550" s="862"/>
      <c r="S550" s="862"/>
      <c r="T550" s="862"/>
      <c r="U550" s="862"/>
      <c r="V550" s="862"/>
      <c r="W550" s="862">
        <f t="shared" si="160"/>
        <v>0</v>
      </c>
      <c r="X550" s="862">
        <f t="shared" si="161"/>
        <v>2999998600</v>
      </c>
      <c r="Y550" s="862">
        <f t="shared" si="162"/>
        <v>2999998000</v>
      </c>
    </row>
    <row r="551" spans="1:25" ht="24.95" customHeight="1">
      <c r="A551" s="953">
        <v>4</v>
      </c>
      <c r="B551" s="899" t="s">
        <v>571</v>
      </c>
      <c r="C551" s="876"/>
      <c r="D551" s="870" t="s">
        <v>825</v>
      </c>
      <c r="E551" s="898">
        <v>7007950</v>
      </c>
      <c r="F551" s="862"/>
      <c r="G551" s="862">
        <v>27962962066</v>
      </c>
      <c r="H551" s="862">
        <v>404034000</v>
      </c>
      <c r="I551" s="862"/>
      <c r="J551" s="862">
        <v>404034000</v>
      </c>
      <c r="K551" s="862"/>
      <c r="L551" s="862"/>
      <c r="M551" s="862"/>
      <c r="N551" s="862"/>
      <c r="O551" s="862"/>
      <c r="P551" s="862"/>
      <c r="Q551" s="862"/>
      <c r="R551" s="862"/>
      <c r="S551" s="862"/>
      <c r="T551" s="862"/>
      <c r="U551" s="862"/>
      <c r="V551" s="862"/>
      <c r="W551" s="862">
        <f t="shared" si="160"/>
        <v>404034000</v>
      </c>
      <c r="X551" s="862">
        <f t="shared" si="161"/>
        <v>0</v>
      </c>
      <c r="Y551" s="862">
        <f t="shared" si="162"/>
        <v>27962962066</v>
      </c>
    </row>
    <row r="552" spans="1:25" ht="24.95" customHeight="1">
      <c r="A552" s="953">
        <v>5</v>
      </c>
      <c r="B552" s="899" t="s">
        <v>603</v>
      </c>
      <c r="C552" s="876"/>
      <c r="D552" s="870" t="s">
        <v>825</v>
      </c>
      <c r="E552" s="956">
        <v>7008087</v>
      </c>
      <c r="F552" s="862"/>
      <c r="G552" s="862">
        <v>37890256312</v>
      </c>
      <c r="H552" s="862">
        <v>11515206</v>
      </c>
      <c r="I552" s="862"/>
      <c r="J552" s="862"/>
      <c r="K552" s="862"/>
      <c r="L552" s="862"/>
      <c r="M552" s="862"/>
      <c r="N552" s="862"/>
      <c r="O552" s="862"/>
      <c r="P552" s="862"/>
      <c r="Q552" s="862"/>
      <c r="R552" s="862"/>
      <c r="S552" s="862"/>
      <c r="T552" s="862"/>
      <c r="U552" s="862"/>
      <c r="V552" s="862"/>
      <c r="W552" s="862">
        <f t="shared" si="160"/>
        <v>0</v>
      </c>
      <c r="X552" s="862">
        <f t="shared" si="161"/>
        <v>11515206</v>
      </c>
      <c r="Y552" s="862">
        <f t="shared" si="162"/>
        <v>37890256312</v>
      </c>
    </row>
    <row r="553" spans="1:25" ht="24.95" customHeight="1">
      <c r="A553" s="953">
        <v>6</v>
      </c>
      <c r="B553" s="899" t="s">
        <v>1006</v>
      </c>
      <c r="C553" s="876"/>
      <c r="D553" s="870" t="s">
        <v>825</v>
      </c>
      <c r="E553" s="898">
        <v>7008874</v>
      </c>
      <c r="F553" s="862"/>
      <c r="G553" s="862">
        <v>66723000000</v>
      </c>
      <c r="H553" s="862">
        <v>40890000</v>
      </c>
      <c r="I553" s="862"/>
      <c r="J553" s="862"/>
      <c r="K553" s="862"/>
      <c r="L553" s="862"/>
      <c r="M553" s="862"/>
      <c r="N553" s="862"/>
      <c r="O553" s="862"/>
      <c r="P553" s="862"/>
      <c r="Q553" s="862"/>
      <c r="R553" s="862"/>
      <c r="S553" s="862"/>
      <c r="T553" s="862"/>
      <c r="U553" s="862"/>
      <c r="V553" s="862"/>
      <c r="W553" s="862">
        <f t="shared" si="160"/>
        <v>0</v>
      </c>
      <c r="X553" s="862">
        <f t="shared" si="161"/>
        <v>40890000</v>
      </c>
      <c r="Y553" s="862">
        <f t="shared" si="162"/>
        <v>66723000000</v>
      </c>
    </row>
    <row r="554" spans="1:25" ht="32.1" customHeight="1">
      <c r="A554" s="953">
        <v>7</v>
      </c>
      <c r="B554" s="909" t="s">
        <v>1186</v>
      </c>
      <c r="C554" s="876"/>
      <c r="D554" s="870" t="s">
        <v>825</v>
      </c>
      <c r="E554" s="898">
        <v>7021529</v>
      </c>
      <c r="F554" s="862"/>
      <c r="G554" s="862">
        <v>76328295763</v>
      </c>
      <c r="H554" s="862">
        <v>378746800</v>
      </c>
      <c r="I554" s="862"/>
      <c r="J554" s="862"/>
      <c r="K554" s="862"/>
      <c r="L554" s="862"/>
      <c r="M554" s="862"/>
      <c r="N554" s="862"/>
      <c r="O554" s="862"/>
      <c r="P554" s="862"/>
      <c r="Q554" s="862"/>
      <c r="R554" s="862"/>
      <c r="S554" s="862"/>
      <c r="T554" s="862"/>
      <c r="U554" s="862"/>
      <c r="V554" s="862"/>
      <c r="W554" s="862">
        <f t="shared" si="160"/>
        <v>0</v>
      </c>
      <c r="X554" s="862">
        <f t="shared" si="161"/>
        <v>378746800</v>
      </c>
      <c r="Y554" s="862">
        <f t="shared" si="162"/>
        <v>76328295763</v>
      </c>
    </row>
    <row r="555" spans="1:25" ht="24.95" customHeight="1">
      <c r="A555" s="953">
        <v>8</v>
      </c>
      <c r="B555" s="909" t="s">
        <v>1008</v>
      </c>
      <c r="C555" s="876"/>
      <c r="D555" s="870" t="s">
        <v>825</v>
      </c>
      <c r="E555" s="898">
        <v>7021576</v>
      </c>
      <c r="F555" s="862"/>
      <c r="G555" s="862">
        <v>44993876361</v>
      </c>
      <c r="H555" s="862">
        <v>118406000</v>
      </c>
      <c r="I555" s="862"/>
      <c r="J555" s="862"/>
      <c r="K555" s="862"/>
      <c r="L555" s="862"/>
      <c r="M555" s="862"/>
      <c r="N555" s="862"/>
      <c r="O555" s="862"/>
      <c r="P555" s="862"/>
      <c r="Q555" s="862"/>
      <c r="R555" s="862"/>
      <c r="S555" s="862"/>
      <c r="T555" s="862"/>
      <c r="U555" s="862"/>
      <c r="V555" s="862"/>
      <c r="W555" s="862">
        <f t="shared" si="160"/>
        <v>0</v>
      </c>
      <c r="X555" s="862">
        <f t="shared" si="161"/>
        <v>118406000</v>
      </c>
      <c r="Y555" s="862">
        <f t="shared" si="162"/>
        <v>44993876361</v>
      </c>
    </row>
    <row r="556" spans="1:25" ht="24.95" customHeight="1">
      <c r="A556" s="953">
        <v>9</v>
      </c>
      <c r="B556" s="865" t="s">
        <v>533</v>
      </c>
      <c r="C556" s="876"/>
      <c r="D556" s="870" t="s">
        <v>825</v>
      </c>
      <c r="E556" s="953">
        <v>7034499</v>
      </c>
      <c r="F556" s="862"/>
      <c r="G556" s="862">
        <v>37166116125</v>
      </c>
      <c r="H556" s="862">
        <v>1077392612</v>
      </c>
      <c r="I556" s="862">
        <v>94134612</v>
      </c>
      <c r="J556" s="862">
        <v>917700000</v>
      </c>
      <c r="K556" s="862"/>
      <c r="L556" s="862"/>
      <c r="M556" s="862"/>
      <c r="N556" s="862"/>
      <c r="O556" s="862"/>
      <c r="P556" s="862"/>
      <c r="Q556" s="862"/>
      <c r="R556" s="862"/>
      <c r="S556" s="862"/>
      <c r="T556" s="862"/>
      <c r="U556" s="862"/>
      <c r="V556" s="862"/>
      <c r="W556" s="862">
        <f t="shared" si="160"/>
        <v>917700000</v>
      </c>
      <c r="X556" s="862">
        <f t="shared" si="161"/>
        <v>65558000</v>
      </c>
      <c r="Y556" s="862">
        <f t="shared" si="162"/>
        <v>37166116125</v>
      </c>
    </row>
    <row r="557" spans="1:25" ht="24.95" customHeight="1">
      <c r="A557" s="953">
        <v>10</v>
      </c>
      <c r="B557" s="957" t="s">
        <v>745</v>
      </c>
      <c r="C557" s="876"/>
      <c r="D557" s="870" t="s">
        <v>825</v>
      </c>
      <c r="E557" s="898">
        <v>7068810</v>
      </c>
      <c r="F557" s="862"/>
      <c r="G557" s="862">
        <v>300026722800</v>
      </c>
      <c r="H557" s="862">
        <v>100074000</v>
      </c>
      <c r="I557" s="862"/>
      <c r="J557" s="862"/>
      <c r="K557" s="862"/>
      <c r="L557" s="862"/>
      <c r="M557" s="862"/>
      <c r="N557" s="862"/>
      <c r="O557" s="862"/>
      <c r="P557" s="862"/>
      <c r="Q557" s="862"/>
      <c r="R557" s="862"/>
      <c r="S557" s="862"/>
      <c r="T557" s="862"/>
      <c r="U557" s="862"/>
      <c r="V557" s="862"/>
      <c r="W557" s="862">
        <f t="shared" si="160"/>
        <v>0</v>
      </c>
      <c r="X557" s="862">
        <f t="shared" si="161"/>
        <v>100074000</v>
      </c>
      <c r="Y557" s="862">
        <f t="shared" si="162"/>
        <v>300026722800</v>
      </c>
    </row>
    <row r="558" spans="1:25" ht="24.95" customHeight="1">
      <c r="A558" s="953">
        <v>11</v>
      </c>
      <c r="B558" s="865" t="s">
        <v>1551</v>
      </c>
      <c r="C558" s="876"/>
      <c r="D558" s="870" t="s">
        <v>825</v>
      </c>
      <c r="E558" s="953">
        <v>7112880</v>
      </c>
      <c r="F558" s="862"/>
      <c r="G558" s="862">
        <v>10864085000</v>
      </c>
      <c r="H558" s="862">
        <v>12016159</v>
      </c>
      <c r="I558" s="862"/>
      <c r="J558" s="862"/>
      <c r="K558" s="862"/>
      <c r="L558" s="862"/>
      <c r="M558" s="862"/>
      <c r="N558" s="862"/>
      <c r="O558" s="862"/>
      <c r="P558" s="862"/>
      <c r="Q558" s="862"/>
      <c r="R558" s="862"/>
      <c r="S558" s="862"/>
      <c r="T558" s="862"/>
      <c r="U558" s="862"/>
      <c r="V558" s="862"/>
      <c r="W558" s="862">
        <f t="shared" si="160"/>
        <v>0</v>
      </c>
      <c r="X558" s="862">
        <f t="shared" si="161"/>
        <v>12016159</v>
      </c>
      <c r="Y558" s="862">
        <f t="shared" si="162"/>
        <v>10864085000</v>
      </c>
    </row>
    <row r="559" spans="1:25" ht="24.95" customHeight="1">
      <c r="A559" s="953">
        <v>12</v>
      </c>
      <c r="B559" s="899" t="s">
        <v>561</v>
      </c>
      <c r="C559" s="876"/>
      <c r="D559" s="870" t="s">
        <v>825</v>
      </c>
      <c r="E559" s="898">
        <v>7146174</v>
      </c>
      <c r="F559" s="862"/>
      <c r="G559" s="862">
        <v>95272253807</v>
      </c>
      <c r="H559" s="862">
        <v>7216808793</v>
      </c>
      <c r="I559" s="862"/>
      <c r="J559" s="862">
        <v>5903745000</v>
      </c>
      <c r="K559" s="862"/>
      <c r="L559" s="862"/>
      <c r="M559" s="862"/>
      <c r="N559" s="862"/>
      <c r="O559" s="862"/>
      <c r="P559" s="862"/>
      <c r="Q559" s="862"/>
      <c r="R559" s="862"/>
      <c r="S559" s="862"/>
      <c r="T559" s="862"/>
      <c r="U559" s="862"/>
      <c r="V559" s="862"/>
      <c r="W559" s="862">
        <f t="shared" si="160"/>
        <v>5903745000</v>
      </c>
      <c r="X559" s="862">
        <f t="shared" si="161"/>
        <v>1313063793</v>
      </c>
      <c r="Y559" s="862">
        <f t="shared" si="162"/>
        <v>95272253807</v>
      </c>
    </row>
    <row r="560" spans="1:25" ht="42" customHeight="1">
      <c r="A560" s="953">
        <v>13</v>
      </c>
      <c r="B560" s="899" t="s">
        <v>1017</v>
      </c>
      <c r="C560" s="876"/>
      <c r="D560" s="870" t="s">
        <v>825</v>
      </c>
      <c r="E560" s="898">
        <v>7148575</v>
      </c>
      <c r="F560" s="862"/>
      <c r="G560" s="862">
        <v>118042309145</v>
      </c>
      <c r="H560" s="862">
        <v>276604000</v>
      </c>
      <c r="I560" s="862"/>
      <c r="J560" s="862">
        <f>276604000-23657500-74200500</f>
        <v>178746000</v>
      </c>
      <c r="K560" s="862"/>
      <c r="L560" s="862"/>
      <c r="M560" s="862"/>
      <c r="N560" s="862"/>
      <c r="O560" s="862"/>
      <c r="P560" s="862"/>
      <c r="Q560" s="862"/>
      <c r="R560" s="862"/>
      <c r="S560" s="862"/>
      <c r="T560" s="862"/>
      <c r="U560" s="862"/>
      <c r="V560" s="862"/>
      <c r="W560" s="862">
        <f t="shared" si="160"/>
        <v>178746000</v>
      </c>
      <c r="X560" s="862">
        <f t="shared" si="161"/>
        <v>97858000</v>
      </c>
      <c r="Y560" s="862">
        <f t="shared" si="162"/>
        <v>118042309145</v>
      </c>
    </row>
    <row r="561" spans="1:25" ht="15" customHeight="1">
      <c r="A561" s="953">
        <v>14</v>
      </c>
      <c r="B561" s="899" t="s">
        <v>579</v>
      </c>
      <c r="C561" s="876"/>
      <c r="D561" s="870" t="s">
        <v>825</v>
      </c>
      <c r="E561" s="898">
        <v>7171773</v>
      </c>
      <c r="F561" s="862"/>
      <c r="G561" s="862">
        <v>17903729609</v>
      </c>
      <c r="H561" s="862">
        <v>732000000</v>
      </c>
      <c r="I561" s="862"/>
      <c r="J561" s="862"/>
      <c r="K561" s="862"/>
      <c r="L561" s="862"/>
      <c r="M561" s="862"/>
      <c r="N561" s="862"/>
      <c r="O561" s="862"/>
      <c r="P561" s="862"/>
      <c r="Q561" s="862"/>
      <c r="R561" s="862"/>
      <c r="S561" s="862"/>
      <c r="T561" s="862"/>
      <c r="U561" s="862"/>
      <c r="V561" s="862"/>
      <c r="W561" s="862">
        <f t="shared" si="160"/>
        <v>0</v>
      </c>
      <c r="X561" s="862">
        <f t="shared" si="161"/>
        <v>732000000</v>
      </c>
      <c r="Y561" s="862">
        <f t="shared" si="162"/>
        <v>17903729609</v>
      </c>
    </row>
    <row r="562" spans="1:25" ht="15" customHeight="1">
      <c r="A562" s="953">
        <v>15</v>
      </c>
      <c r="B562" s="899" t="s">
        <v>1187</v>
      </c>
      <c r="C562" s="876"/>
      <c r="D562" s="870" t="s">
        <v>825</v>
      </c>
      <c r="E562" s="958">
        <v>7171777</v>
      </c>
      <c r="F562" s="862"/>
      <c r="G562" s="862">
        <v>10468946000</v>
      </c>
      <c r="H562" s="862">
        <v>102000000</v>
      </c>
      <c r="I562" s="862"/>
      <c r="J562" s="862"/>
      <c r="K562" s="862"/>
      <c r="L562" s="862"/>
      <c r="M562" s="862"/>
      <c r="N562" s="862"/>
      <c r="O562" s="862"/>
      <c r="P562" s="862"/>
      <c r="Q562" s="862"/>
      <c r="R562" s="862"/>
      <c r="S562" s="862"/>
      <c r="T562" s="862"/>
      <c r="U562" s="862"/>
      <c r="V562" s="862"/>
      <c r="W562" s="862">
        <f t="shared" si="160"/>
        <v>0</v>
      </c>
      <c r="X562" s="862">
        <f t="shared" si="161"/>
        <v>102000000</v>
      </c>
      <c r="Y562" s="862">
        <f t="shared" si="162"/>
        <v>10468946000</v>
      </c>
    </row>
    <row r="563" spans="1:25" ht="24.95" customHeight="1">
      <c r="A563" s="953">
        <v>16</v>
      </c>
      <c r="B563" s="899" t="s">
        <v>580</v>
      </c>
      <c r="C563" s="876"/>
      <c r="D563" s="870" t="s">
        <v>825</v>
      </c>
      <c r="E563" s="898">
        <v>7235549</v>
      </c>
      <c r="F563" s="862"/>
      <c r="G563" s="862">
        <v>14844621500</v>
      </c>
      <c r="H563" s="862">
        <v>13394000</v>
      </c>
      <c r="I563" s="862"/>
      <c r="J563" s="862"/>
      <c r="K563" s="862"/>
      <c r="L563" s="862"/>
      <c r="M563" s="862"/>
      <c r="N563" s="862"/>
      <c r="O563" s="862"/>
      <c r="P563" s="862"/>
      <c r="Q563" s="862"/>
      <c r="R563" s="862"/>
      <c r="S563" s="862"/>
      <c r="T563" s="862"/>
      <c r="U563" s="862"/>
      <c r="V563" s="862"/>
      <c r="W563" s="862">
        <f t="shared" si="160"/>
        <v>0</v>
      </c>
      <c r="X563" s="862">
        <f t="shared" si="161"/>
        <v>13394000</v>
      </c>
      <c r="Y563" s="862">
        <f t="shared" si="162"/>
        <v>14844621500</v>
      </c>
    </row>
    <row r="564" spans="1:25" ht="15" customHeight="1">
      <c r="A564" s="953">
        <v>17</v>
      </c>
      <c r="B564" s="899" t="s">
        <v>1580</v>
      </c>
      <c r="C564" s="876"/>
      <c r="D564" s="870" t="s">
        <v>825</v>
      </c>
      <c r="E564" s="959">
        <v>7266862</v>
      </c>
      <c r="F564" s="862"/>
      <c r="G564" s="862">
        <v>3459152000</v>
      </c>
      <c r="H564" s="862">
        <v>146000000</v>
      </c>
      <c r="I564" s="862"/>
      <c r="J564" s="862"/>
      <c r="K564" s="862"/>
      <c r="L564" s="862"/>
      <c r="M564" s="862"/>
      <c r="N564" s="862"/>
      <c r="O564" s="862"/>
      <c r="P564" s="862"/>
      <c r="Q564" s="862"/>
      <c r="R564" s="862"/>
      <c r="S564" s="862"/>
      <c r="T564" s="862"/>
      <c r="U564" s="862"/>
      <c r="V564" s="862"/>
      <c r="W564" s="862">
        <f t="shared" si="160"/>
        <v>0</v>
      </c>
      <c r="X564" s="862">
        <f t="shared" si="161"/>
        <v>146000000</v>
      </c>
      <c r="Y564" s="862">
        <f t="shared" si="162"/>
        <v>3459152000</v>
      </c>
    </row>
    <row r="565" spans="1:25" ht="32.1" customHeight="1">
      <c r="A565" s="953">
        <v>18</v>
      </c>
      <c r="B565" s="899" t="s">
        <v>1552</v>
      </c>
      <c r="C565" s="876"/>
      <c r="D565" s="870" t="s">
        <v>825</v>
      </c>
      <c r="E565" s="958">
        <v>7275587</v>
      </c>
      <c r="F565" s="862"/>
      <c r="G565" s="862">
        <v>27190809999</v>
      </c>
      <c r="H565" s="862">
        <v>4629458000</v>
      </c>
      <c r="I565" s="862">
        <v>0</v>
      </c>
      <c r="J565" s="862">
        <v>1684348000</v>
      </c>
      <c r="K565" s="862"/>
      <c r="L565" s="862"/>
      <c r="M565" s="862"/>
      <c r="N565" s="862"/>
      <c r="O565" s="862"/>
      <c r="P565" s="862"/>
      <c r="Q565" s="862"/>
      <c r="R565" s="862"/>
      <c r="S565" s="862"/>
      <c r="T565" s="862"/>
      <c r="U565" s="862"/>
      <c r="V565" s="862"/>
      <c r="W565" s="862">
        <f t="shared" si="160"/>
        <v>1684348000</v>
      </c>
      <c r="X565" s="862">
        <f t="shared" si="161"/>
        <v>2945110000</v>
      </c>
      <c r="Y565" s="862">
        <f t="shared" si="162"/>
        <v>27190809999</v>
      </c>
    </row>
    <row r="566" spans="1:25" ht="24.95" customHeight="1">
      <c r="A566" s="953">
        <v>19</v>
      </c>
      <c r="B566" s="899" t="s">
        <v>569</v>
      </c>
      <c r="C566" s="876"/>
      <c r="D566" s="870" t="s">
        <v>825</v>
      </c>
      <c r="E566" s="898">
        <v>7282554</v>
      </c>
      <c r="F566" s="862"/>
      <c r="G566" s="862">
        <v>16851093000</v>
      </c>
      <c r="H566" s="862">
        <v>94438000</v>
      </c>
      <c r="I566" s="862"/>
      <c r="J566" s="862">
        <v>94438000</v>
      </c>
      <c r="K566" s="862"/>
      <c r="L566" s="862"/>
      <c r="M566" s="862"/>
      <c r="N566" s="862"/>
      <c r="O566" s="862"/>
      <c r="P566" s="862"/>
      <c r="Q566" s="862"/>
      <c r="R566" s="862"/>
      <c r="S566" s="862"/>
      <c r="T566" s="862"/>
      <c r="U566" s="862"/>
      <c r="V566" s="862"/>
      <c r="W566" s="862">
        <f t="shared" si="160"/>
        <v>94438000</v>
      </c>
      <c r="X566" s="862">
        <f t="shared" si="161"/>
        <v>0</v>
      </c>
      <c r="Y566" s="862">
        <f t="shared" si="162"/>
        <v>16851093000</v>
      </c>
    </row>
    <row r="567" spans="1:25" ht="32.1" customHeight="1">
      <c r="A567" s="953">
        <v>20</v>
      </c>
      <c r="B567" s="899" t="s">
        <v>611</v>
      </c>
      <c r="C567" s="876"/>
      <c r="D567" s="870" t="s">
        <v>825</v>
      </c>
      <c r="E567" s="898">
        <v>7323526</v>
      </c>
      <c r="F567" s="862"/>
      <c r="G567" s="862">
        <v>28970374502</v>
      </c>
      <c r="H567" s="862">
        <v>181000000</v>
      </c>
      <c r="I567" s="862"/>
      <c r="J567" s="862">
        <v>181000000</v>
      </c>
      <c r="K567" s="862"/>
      <c r="L567" s="862"/>
      <c r="M567" s="862"/>
      <c r="N567" s="862"/>
      <c r="O567" s="862"/>
      <c r="P567" s="862"/>
      <c r="Q567" s="862"/>
      <c r="R567" s="862"/>
      <c r="S567" s="862"/>
      <c r="T567" s="862"/>
      <c r="U567" s="862"/>
      <c r="V567" s="862"/>
      <c r="W567" s="862">
        <f t="shared" si="160"/>
        <v>181000000</v>
      </c>
      <c r="X567" s="862">
        <f t="shared" si="161"/>
        <v>0</v>
      </c>
      <c r="Y567" s="862">
        <f t="shared" si="162"/>
        <v>28970374502</v>
      </c>
    </row>
    <row r="568" spans="1:25" ht="24.95" customHeight="1">
      <c r="A568" s="953">
        <v>21</v>
      </c>
      <c r="B568" s="865" t="s">
        <v>1188</v>
      </c>
      <c r="C568" s="876"/>
      <c r="D568" s="870" t="s">
        <v>825</v>
      </c>
      <c r="E568" s="898">
        <v>7372218</v>
      </c>
      <c r="F568" s="862"/>
      <c r="G568" s="862">
        <v>5117748200</v>
      </c>
      <c r="H568" s="862">
        <v>718989200</v>
      </c>
      <c r="I568" s="862"/>
      <c r="J568" s="862">
        <v>718989200</v>
      </c>
      <c r="K568" s="862"/>
      <c r="L568" s="862"/>
      <c r="M568" s="862"/>
      <c r="N568" s="862"/>
      <c r="O568" s="862"/>
      <c r="P568" s="862"/>
      <c r="Q568" s="862"/>
      <c r="R568" s="862"/>
      <c r="S568" s="862"/>
      <c r="T568" s="862"/>
      <c r="U568" s="862"/>
      <c r="V568" s="862"/>
      <c r="W568" s="862">
        <f t="shared" si="160"/>
        <v>718989200</v>
      </c>
      <c r="X568" s="862">
        <f t="shared" si="161"/>
        <v>0</v>
      </c>
      <c r="Y568" s="862">
        <f t="shared" si="162"/>
        <v>5117748200</v>
      </c>
    </row>
    <row r="569" spans="1:25" ht="32.1" customHeight="1">
      <c r="A569" s="953">
        <v>22</v>
      </c>
      <c r="B569" s="899" t="s">
        <v>1189</v>
      </c>
      <c r="C569" s="876"/>
      <c r="D569" s="870" t="s">
        <v>825</v>
      </c>
      <c r="E569" s="910">
        <v>7388935</v>
      </c>
      <c r="F569" s="862"/>
      <c r="G569" s="862">
        <v>428736000</v>
      </c>
      <c r="H569" s="862">
        <v>60000000</v>
      </c>
      <c r="I569" s="862"/>
      <c r="J569" s="862"/>
      <c r="K569" s="862"/>
      <c r="L569" s="862"/>
      <c r="M569" s="862"/>
      <c r="N569" s="862"/>
      <c r="O569" s="862"/>
      <c r="P569" s="862"/>
      <c r="Q569" s="862"/>
      <c r="R569" s="862"/>
      <c r="S569" s="862"/>
      <c r="T569" s="862"/>
      <c r="U569" s="862"/>
      <c r="V569" s="862"/>
      <c r="W569" s="862">
        <f t="shared" si="160"/>
        <v>0</v>
      </c>
      <c r="X569" s="862">
        <f t="shared" si="161"/>
        <v>60000000</v>
      </c>
      <c r="Y569" s="862">
        <f t="shared" si="162"/>
        <v>428736000</v>
      </c>
    </row>
    <row r="570" spans="1:25" ht="15" customHeight="1">
      <c r="A570" s="953">
        <v>23</v>
      </c>
      <c r="B570" s="899" t="s">
        <v>1190</v>
      </c>
      <c r="C570" s="876"/>
      <c r="D570" s="870" t="s">
        <v>825</v>
      </c>
      <c r="E570" s="958">
        <v>7401809</v>
      </c>
      <c r="F570" s="862"/>
      <c r="G570" s="862">
        <v>17298000000</v>
      </c>
      <c r="H570" s="862">
        <v>108311400</v>
      </c>
      <c r="I570" s="862"/>
      <c r="J570" s="862"/>
      <c r="K570" s="862"/>
      <c r="L570" s="862"/>
      <c r="M570" s="862"/>
      <c r="N570" s="862"/>
      <c r="O570" s="862"/>
      <c r="P570" s="862"/>
      <c r="Q570" s="862"/>
      <c r="R570" s="862"/>
      <c r="S570" s="862"/>
      <c r="T570" s="862"/>
      <c r="U570" s="862"/>
      <c r="V570" s="862"/>
      <c r="W570" s="862">
        <f t="shared" si="160"/>
        <v>0</v>
      </c>
      <c r="X570" s="862">
        <f t="shared" si="161"/>
        <v>108311400</v>
      </c>
      <c r="Y570" s="862">
        <f t="shared" si="162"/>
        <v>17298000000</v>
      </c>
    </row>
    <row r="571" spans="1:25" ht="32.1" customHeight="1">
      <c r="A571" s="953">
        <v>24</v>
      </c>
      <c r="B571" s="899" t="s">
        <v>578</v>
      </c>
      <c r="C571" s="876"/>
      <c r="D571" s="870" t="s">
        <v>825</v>
      </c>
      <c r="E571" s="898">
        <v>7425541</v>
      </c>
      <c r="F571" s="862"/>
      <c r="G571" s="862">
        <v>14962156000</v>
      </c>
      <c r="H571" s="862">
        <v>76276000</v>
      </c>
      <c r="I571" s="862"/>
      <c r="J571" s="862"/>
      <c r="K571" s="862"/>
      <c r="L571" s="862"/>
      <c r="M571" s="862"/>
      <c r="N571" s="862"/>
      <c r="O571" s="862"/>
      <c r="P571" s="862"/>
      <c r="Q571" s="862"/>
      <c r="R571" s="862"/>
      <c r="S571" s="862"/>
      <c r="T571" s="862"/>
      <c r="U571" s="862"/>
      <c r="V571" s="862"/>
      <c r="W571" s="862">
        <f t="shared" si="160"/>
        <v>0</v>
      </c>
      <c r="X571" s="862">
        <f t="shared" si="161"/>
        <v>76276000</v>
      </c>
      <c r="Y571" s="862">
        <f t="shared" si="162"/>
        <v>14962156000</v>
      </c>
    </row>
    <row r="572" spans="1:25" ht="51.95" customHeight="1">
      <c r="A572" s="953">
        <v>25</v>
      </c>
      <c r="B572" s="909" t="s">
        <v>1191</v>
      </c>
      <c r="C572" s="876"/>
      <c r="D572" s="870" t="s">
        <v>825</v>
      </c>
      <c r="E572" s="910">
        <v>7430633</v>
      </c>
      <c r="F572" s="862"/>
      <c r="G572" s="862">
        <v>13974836000</v>
      </c>
      <c r="H572" s="862">
        <v>104539000</v>
      </c>
      <c r="I572" s="862"/>
      <c r="J572" s="862"/>
      <c r="K572" s="862"/>
      <c r="L572" s="862"/>
      <c r="M572" s="862"/>
      <c r="N572" s="862"/>
      <c r="O572" s="862"/>
      <c r="P572" s="862"/>
      <c r="Q572" s="862"/>
      <c r="R572" s="862"/>
      <c r="S572" s="862"/>
      <c r="T572" s="862"/>
      <c r="U572" s="862"/>
      <c r="V572" s="862"/>
      <c r="W572" s="862">
        <f t="shared" si="160"/>
        <v>0</v>
      </c>
      <c r="X572" s="862">
        <f t="shared" si="161"/>
        <v>104539000</v>
      </c>
      <c r="Y572" s="862">
        <f t="shared" si="162"/>
        <v>13974836000</v>
      </c>
    </row>
    <row r="573" spans="1:25" ht="32.1" customHeight="1">
      <c r="A573" s="953">
        <v>26</v>
      </c>
      <c r="B573" s="909" t="s">
        <v>1192</v>
      </c>
      <c r="C573" s="876"/>
      <c r="D573" s="870" t="s">
        <v>825</v>
      </c>
      <c r="E573" s="910">
        <v>7432313</v>
      </c>
      <c r="F573" s="862"/>
      <c r="G573" s="862">
        <v>13660546000</v>
      </c>
      <c r="H573" s="862">
        <v>142150000</v>
      </c>
      <c r="I573" s="862"/>
      <c r="J573" s="862"/>
      <c r="K573" s="862"/>
      <c r="L573" s="862"/>
      <c r="M573" s="862"/>
      <c r="N573" s="862"/>
      <c r="O573" s="862"/>
      <c r="P573" s="862"/>
      <c r="Q573" s="862"/>
      <c r="R573" s="862"/>
      <c r="S573" s="862"/>
      <c r="T573" s="862"/>
      <c r="U573" s="862"/>
      <c r="V573" s="862"/>
      <c r="W573" s="862">
        <f t="shared" si="160"/>
        <v>0</v>
      </c>
      <c r="X573" s="862">
        <f t="shared" si="161"/>
        <v>142150000</v>
      </c>
      <c r="Y573" s="862">
        <f t="shared" si="162"/>
        <v>13660546000</v>
      </c>
    </row>
    <row r="574" spans="1:25" ht="15" customHeight="1">
      <c r="A574" s="953">
        <v>27</v>
      </c>
      <c r="B574" s="899" t="s">
        <v>562</v>
      </c>
      <c r="C574" s="876"/>
      <c r="D574" s="870" t="s">
        <v>825</v>
      </c>
      <c r="E574" s="898">
        <v>7440795</v>
      </c>
      <c r="F574" s="862"/>
      <c r="G574" s="862">
        <v>24744903000</v>
      </c>
      <c r="H574" s="862">
        <v>0</v>
      </c>
      <c r="I574" s="862"/>
      <c r="J574" s="862"/>
      <c r="K574" s="862"/>
      <c r="L574" s="862"/>
      <c r="M574" s="862"/>
      <c r="N574" s="862"/>
      <c r="O574" s="862"/>
      <c r="P574" s="862"/>
      <c r="Q574" s="862"/>
      <c r="R574" s="862"/>
      <c r="S574" s="862"/>
      <c r="T574" s="862"/>
      <c r="U574" s="862"/>
      <c r="V574" s="862"/>
      <c r="W574" s="862">
        <f t="shared" si="160"/>
        <v>0</v>
      </c>
      <c r="X574" s="862">
        <f t="shared" si="161"/>
        <v>0</v>
      </c>
      <c r="Y574" s="862">
        <f t="shared" si="162"/>
        <v>24744903000</v>
      </c>
    </row>
    <row r="575" spans="1:25" ht="15" customHeight="1">
      <c r="A575" s="953">
        <v>28</v>
      </c>
      <c r="B575" s="899" t="s">
        <v>1193</v>
      </c>
      <c r="C575" s="876"/>
      <c r="D575" s="870" t="s">
        <v>825</v>
      </c>
      <c r="E575" s="910">
        <v>7461128</v>
      </c>
      <c r="F575" s="862"/>
      <c r="G575" s="862">
        <v>3761032000</v>
      </c>
      <c r="H575" s="862">
        <v>3000000000</v>
      </c>
      <c r="I575" s="862"/>
      <c r="J575" s="862">
        <v>3000000000</v>
      </c>
      <c r="K575" s="862"/>
      <c r="L575" s="862"/>
      <c r="M575" s="862"/>
      <c r="N575" s="862"/>
      <c r="O575" s="862"/>
      <c r="P575" s="862"/>
      <c r="Q575" s="862"/>
      <c r="R575" s="862"/>
      <c r="S575" s="862"/>
      <c r="T575" s="862"/>
      <c r="U575" s="862"/>
      <c r="V575" s="862"/>
      <c r="W575" s="862">
        <f t="shared" si="160"/>
        <v>3000000000</v>
      </c>
      <c r="X575" s="862">
        <f t="shared" si="161"/>
        <v>0</v>
      </c>
      <c r="Y575" s="862">
        <f t="shared" si="162"/>
        <v>3761032000</v>
      </c>
    </row>
    <row r="576" spans="1:25" ht="32.1" customHeight="1">
      <c r="A576" s="953">
        <v>29</v>
      </c>
      <c r="B576" s="899" t="s">
        <v>1194</v>
      </c>
      <c r="C576" s="876"/>
      <c r="D576" s="870" t="s">
        <v>825</v>
      </c>
      <c r="E576" s="898">
        <v>7478495</v>
      </c>
      <c r="F576" s="862"/>
      <c r="G576" s="862">
        <v>28277189142</v>
      </c>
      <c r="H576" s="862">
        <v>975959109</v>
      </c>
      <c r="I576" s="862">
        <v>450000000</v>
      </c>
      <c r="J576" s="862">
        <v>525959109</v>
      </c>
      <c r="K576" s="862"/>
      <c r="L576" s="862"/>
      <c r="M576" s="862"/>
      <c r="N576" s="862"/>
      <c r="O576" s="862"/>
      <c r="P576" s="862"/>
      <c r="Q576" s="862"/>
      <c r="R576" s="862"/>
      <c r="S576" s="862"/>
      <c r="T576" s="862"/>
      <c r="U576" s="862"/>
      <c r="V576" s="862"/>
      <c r="W576" s="862">
        <f t="shared" si="160"/>
        <v>525959109</v>
      </c>
      <c r="X576" s="862">
        <f t="shared" si="161"/>
        <v>0</v>
      </c>
      <c r="Y576" s="862">
        <f t="shared" si="162"/>
        <v>28277189142</v>
      </c>
    </row>
    <row r="577" spans="1:25" ht="52.5">
      <c r="A577" s="953">
        <v>30</v>
      </c>
      <c r="B577" s="899" t="s">
        <v>1195</v>
      </c>
      <c r="C577" s="876"/>
      <c r="D577" s="870" t="s">
        <v>825</v>
      </c>
      <c r="E577" s="898">
        <v>7487981</v>
      </c>
      <c r="F577" s="862"/>
      <c r="G577" s="862">
        <v>938005000</v>
      </c>
      <c r="H577" s="862">
        <v>18555000</v>
      </c>
      <c r="I577" s="862"/>
      <c r="J577" s="862">
        <v>18555000</v>
      </c>
      <c r="K577" s="862"/>
      <c r="L577" s="862"/>
      <c r="M577" s="862"/>
      <c r="N577" s="862"/>
      <c r="O577" s="862"/>
      <c r="P577" s="862"/>
      <c r="Q577" s="862"/>
      <c r="R577" s="862"/>
      <c r="S577" s="862"/>
      <c r="T577" s="862"/>
      <c r="U577" s="862"/>
      <c r="V577" s="862"/>
      <c r="W577" s="862">
        <f t="shared" si="160"/>
        <v>18555000</v>
      </c>
      <c r="X577" s="862">
        <f t="shared" si="161"/>
        <v>0</v>
      </c>
      <c r="Y577" s="862">
        <f t="shared" si="162"/>
        <v>938005000</v>
      </c>
    </row>
    <row r="578" spans="1:25" ht="15" customHeight="1">
      <c r="A578" s="953">
        <v>31</v>
      </c>
      <c r="B578" s="899" t="s">
        <v>563</v>
      </c>
      <c r="C578" s="876"/>
      <c r="D578" s="870" t="s">
        <v>825</v>
      </c>
      <c r="E578" s="898">
        <v>7498318</v>
      </c>
      <c r="F578" s="862"/>
      <c r="G578" s="862">
        <v>7511290000</v>
      </c>
      <c r="H578" s="862">
        <v>720000000</v>
      </c>
      <c r="I578" s="862"/>
      <c r="J578" s="862"/>
      <c r="K578" s="862"/>
      <c r="L578" s="862"/>
      <c r="M578" s="862"/>
      <c r="N578" s="862"/>
      <c r="O578" s="862"/>
      <c r="P578" s="862"/>
      <c r="Q578" s="862"/>
      <c r="R578" s="862"/>
      <c r="S578" s="862"/>
      <c r="T578" s="862"/>
      <c r="U578" s="862"/>
      <c r="V578" s="862"/>
      <c r="W578" s="862">
        <f t="shared" si="160"/>
        <v>0</v>
      </c>
      <c r="X578" s="862">
        <f t="shared" si="161"/>
        <v>720000000</v>
      </c>
      <c r="Y578" s="862">
        <f t="shared" si="162"/>
        <v>7511290000</v>
      </c>
    </row>
    <row r="579" spans="1:25" ht="24.95" customHeight="1">
      <c r="A579" s="953">
        <v>32</v>
      </c>
      <c r="B579" s="899" t="s">
        <v>617</v>
      </c>
      <c r="C579" s="876"/>
      <c r="D579" s="870" t="s">
        <v>825</v>
      </c>
      <c r="E579" s="898">
        <v>7513830</v>
      </c>
      <c r="F579" s="862"/>
      <c r="G579" s="862">
        <v>9284000000</v>
      </c>
      <c r="H579" s="862">
        <v>1219178500</v>
      </c>
      <c r="I579" s="862"/>
      <c r="J579" s="862">
        <v>1200272000</v>
      </c>
      <c r="K579" s="862"/>
      <c r="L579" s="862"/>
      <c r="M579" s="862"/>
      <c r="N579" s="862"/>
      <c r="O579" s="862"/>
      <c r="P579" s="862"/>
      <c r="Q579" s="862"/>
      <c r="R579" s="862"/>
      <c r="S579" s="862"/>
      <c r="T579" s="862"/>
      <c r="U579" s="862"/>
      <c r="V579" s="862"/>
      <c r="W579" s="862">
        <f t="shared" si="160"/>
        <v>1200272000</v>
      </c>
      <c r="X579" s="862">
        <f t="shared" si="161"/>
        <v>18906500</v>
      </c>
      <c r="Y579" s="862">
        <f t="shared" si="162"/>
        <v>9284000000</v>
      </c>
    </row>
    <row r="580" spans="1:25" ht="32.1" customHeight="1">
      <c r="A580" s="953">
        <v>33</v>
      </c>
      <c r="B580" s="899" t="s">
        <v>567</v>
      </c>
      <c r="C580" s="876"/>
      <c r="D580" s="870" t="s">
        <v>825</v>
      </c>
      <c r="E580" s="898">
        <v>7523473</v>
      </c>
      <c r="F580" s="862"/>
      <c r="G580" s="862">
        <v>6814114976</v>
      </c>
      <c r="H580" s="862">
        <v>25522000</v>
      </c>
      <c r="I580" s="862"/>
      <c r="J580" s="862"/>
      <c r="K580" s="862"/>
      <c r="L580" s="862"/>
      <c r="M580" s="862"/>
      <c r="N580" s="862"/>
      <c r="O580" s="862"/>
      <c r="P580" s="862"/>
      <c r="Q580" s="862"/>
      <c r="R580" s="862"/>
      <c r="S580" s="862"/>
      <c r="T580" s="862"/>
      <c r="U580" s="862"/>
      <c r="V580" s="862"/>
      <c r="W580" s="862">
        <f t="shared" si="160"/>
        <v>0</v>
      </c>
      <c r="X580" s="862">
        <f t="shared" si="161"/>
        <v>25522000</v>
      </c>
      <c r="Y580" s="862">
        <f t="shared" si="162"/>
        <v>6814114976</v>
      </c>
    </row>
    <row r="581" spans="1:25" ht="51.95" customHeight="1">
      <c r="A581" s="953">
        <v>34</v>
      </c>
      <c r="B581" s="899" t="s">
        <v>1461</v>
      </c>
      <c r="C581" s="876"/>
      <c r="D581" s="870" t="s">
        <v>825</v>
      </c>
      <c r="E581" s="898">
        <v>7525677</v>
      </c>
      <c r="F581" s="862"/>
      <c r="G581" s="862">
        <v>1298128000</v>
      </c>
      <c r="H581" s="862">
        <v>173760000</v>
      </c>
      <c r="I581" s="862"/>
      <c r="J581" s="862">
        <v>173760000</v>
      </c>
      <c r="K581" s="862"/>
      <c r="L581" s="862"/>
      <c r="M581" s="862"/>
      <c r="N581" s="862"/>
      <c r="O581" s="862"/>
      <c r="P581" s="862"/>
      <c r="Q581" s="862"/>
      <c r="R581" s="862"/>
      <c r="S581" s="862"/>
      <c r="T581" s="862"/>
      <c r="U581" s="862"/>
      <c r="V581" s="862"/>
      <c r="W581" s="862">
        <f t="shared" si="160"/>
        <v>173760000</v>
      </c>
      <c r="X581" s="862">
        <f t="shared" si="161"/>
        <v>0</v>
      </c>
      <c r="Y581" s="862">
        <f t="shared" si="162"/>
        <v>1298128000</v>
      </c>
    </row>
    <row r="582" spans="1:25" ht="15" customHeight="1">
      <c r="A582" s="953">
        <v>35</v>
      </c>
      <c r="B582" s="899" t="s">
        <v>983</v>
      </c>
      <c r="C582" s="876"/>
      <c r="D582" s="870" t="s">
        <v>825</v>
      </c>
      <c r="E582" s="898">
        <v>7536929</v>
      </c>
      <c r="F582" s="862"/>
      <c r="G582" s="862">
        <v>1609067000</v>
      </c>
      <c r="H582" s="862">
        <v>250000000</v>
      </c>
      <c r="I582" s="862"/>
      <c r="J582" s="862">
        <v>250000000</v>
      </c>
      <c r="K582" s="862"/>
      <c r="L582" s="862"/>
      <c r="M582" s="862"/>
      <c r="N582" s="862"/>
      <c r="O582" s="862"/>
      <c r="P582" s="862"/>
      <c r="Q582" s="862"/>
      <c r="R582" s="862"/>
      <c r="S582" s="862"/>
      <c r="T582" s="862"/>
      <c r="U582" s="862"/>
      <c r="V582" s="862"/>
      <c r="W582" s="862">
        <f t="shared" si="160"/>
        <v>250000000</v>
      </c>
      <c r="X582" s="862">
        <f t="shared" si="161"/>
        <v>0</v>
      </c>
      <c r="Y582" s="862">
        <f t="shared" si="162"/>
        <v>1609067000</v>
      </c>
    </row>
    <row r="583" spans="1:25" ht="24.95" customHeight="1">
      <c r="A583" s="953">
        <v>36</v>
      </c>
      <c r="B583" s="899" t="s">
        <v>566</v>
      </c>
      <c r="C583" s="876"/>
      <c r="D583" s="870" t="s">
        <v>825</v>
      </c>
      <c r="E583" s="898">
        <v>7538654</v>
      </c>
      <c r="F583" s="862"/>
      <c r="G583" s="862">
        <v>5500000000</v>
      </c>
      <c r="H583" s="862">
        <v>865535000</v>
      </c>
      <c r="I583" s="862"/>
      <c r="J583" s="862">
        <v>865535000</v>
      </c>
      <c r="K583" s="862"/>
      <c r="L583" s="862"/>
      <c r="M583" s="862"/>
      <c r="N583" s="862"/>
      <c r="O583" s="862"/>
      <c r="P583" s="862"/>
      <c r="Q583" s="862"/>
      <c r="R583" s="862"/>
      <c r="S583" s="862"/>
      <c r="T583" s="862"/>
      <c r="U583" s="862"/>
      <c r="V583" s="862"/>
      <c r="W583" s="862">
        <f t="shared" si="160"/>
        <v>865535000</v>
      </c>
      <c r="X583" s="862">
        <f t="shared" si="161"/>
        <v>0</v>
      </c>
      <c r="Y583" s="862">
        <f t="shared" si="162"/>
        <v>5500000000</v>
      </c>
    </row>
    <row r="584" spans="1:25" ht="15" customHeight="1">
      <c r="A584" s="953">
        <v>37</v>
      </c>
      <c r="B584" s="899" t="s">
        <v>565</v>
      </c>
      <c r="C584" s="876"/>
      <c r="D584" s="870" t="s">
        <v>825</v>
      </c>
      <c r="E584" s="898">
        <v>7539811</v>
      </c>
      <c r="F584" s="862"/>
      <c r="G584" s="862">
        <v>5000000000</v>
      </c>
      <c r="H584" s="862">
        <v>919280000</v>
      </c>
      <c r="I584" s="862"/>
      <c r="J584" s="862">
        <v>919280000</v>
      </c>
      <c r="K584" s="862"/>
      <c r="L584" s="862"/>
      <c r="M584" s="862"/>
      <c r="N584" s="862"/>
      <c r="O584" s="862"/>
      <c r="P584" s="862"/>
      <c r="Q584" s="862"/>
      <c r="R584" s="862"/>
      <c r="S584" s="862"/>
      <c r="T584" s="862"/>
      <c r="U584" s="862"/>
      <c r="V584" s="862"/>
      <c r="W584" s="862">
        <f t="shared" si="160"/>
        <v>919280000</v>
      </c>
      <c r="X584" s="862">
        <f t="shared" si="161"/>
        <v>0</v>
      </c>
      <c r="Y584" s="862">
        <f t="shared" si="162"/>
        <v>5000000000</v>
      </c>
    </row>
    <row r="585" spans="1:25" ht="32.1" customHeight="1">
      <c r="A585" s="953">
        <v>38</v>
      </c>
      <c r="B585" s="899" t="s">
        <v>998</v>
      </c>
      <c r="C585" s="876"/>
      <c r="D585" s="870" t="s">
        <v>825</v>
      </c>
      <c r="E585" s="898">
        <v>7541078</v>
      </c>
      <c r="F585" s="862"/>
      <c r="G585" s="862">
        <v>400000000</v>
      </c>
      <c r="H585" s="862">
        <v>45900000</v>
      </c>
      <c r="I585" s="862"/>
      <c r="J585" s="862">
        <v>45900000</v>
      </c>
      <c r="K585" s="862"/>
      <c r="L585" s="862"/>
      <c r="M585" s="862"/>
      <c r="N585" s="862"/>
      <c r="O585" s="862"/>
      <c r="P585" s="862"/>
      <c r="Q585" s="862"/>
      <c r="R585" s="862"/>
      <c r="S585" s="862"/>
      <c r="T585" s="862"/>
      <c r="U585" s="862"/>
      <c r="V585" s="862"/>
      <c r="W585" s="862">
        <f t="shared" si="160"/>
        <v>45900000</v>
      </c>
      <c r="X585" s="862">
        <f t="shared" si="161"/>
        <v>0</v>
      </c>
      <c r="Y585" s="862">
        <f t="shared" si="162"/>
        <v>400000000</v>
      </c>
    </row>
    <row r="586" spans="1:25" ht="32.1" customHeight="1">
      <c r="A586" s="953">
        <v>39</v>
      </c>
      <c r="B586" s="899" t="s">
        <v>1196</v>
      </c>
      <c r="C586" s="876"/>
      <c r="D586" s="870" t="s">
        <v>825</v>
      </c>
      <c r="E586" s="898">
        <v>7541537</v>
      </c>
      <c r="F586" s="862"/>
      <c r="G586" s="862">
        <v>1324366000</v>
      </c>
      <c r="H586" s="862">
        <v>440000000</v>
      </c>
      <c r="I586" s="862"/>
      <c r="J586" s="862">
        <v>440000000</v>
      </c>
      <c r="K586" s="862"/>
      <c r="L586" s="862"/>
      <c r="M586" s="862"/>
      <c r="N586" s="862"/>
      <c r="O586" s="862"/>
      <c r="P586" s="862"/>
      <c r="Q586" s="862"/>
      <c r="R586" s="862"/>
      <c r="S586" s="862"/>
      <c r="T586" s="862"/>
      <c r="U586" s="862"/>
      <c r="V586" s="862"/>
      <c r="W586" s="862">
        <f t="shared" si="160"/>
        <v>440000000</v>
      </c>
      <c r="X586" s="862">
        <f t="shared" si="161"/>
        <v>0</v>
      </c>
      <c r="Y586" s="862">
        <f t="shared" si="162"/>
        <v>1324366000</v>
      </c>
    </row>
    <row r="587" spans="1:25" ht="24.95" customHeight="1">
      <c r="A587" s="953">
        <v>40</v>
      </c>
      <c r="B587" s="899" t="s">
        <v>994</v>
      </c>
      <c r="C587" s="876"/>
      <c r="D587" s="870" t="s">
        <v>825</v>
      </c>
      <c r="E587" s="898">
        <v>7542990</v>
      </c>
      <c r="F587" s="862"/>
      <c r="G587" s="862">
        <v>2500000000</v>
      </c>
      <c r="H587" s="862">
        <v>213750500</v>
      </c>
      <c r="I587" s="862"/>
      <c r="J587" s="862">
        <v>146073500</v>
      </c>
      <c r="K587" s="862"/>
      <c r="L587" s="862"/>
      <c r="M587" s="862"/>
      <c r="N587" s="862"/>
      <c r="O587" s="862"/>
      <c r="P587" s="862"/>
      <c r="Q587" s="862"/>
      <c r="R587" s="862"/>
      <c r="S587" s="862"/>
      <c r="T587" s="862"/>
      <c r="U587" s="862"/>
      <c r="V587" s="862"/>
      <c r="W587" s="862">
        <f t="shared" si="160"/>
        <v>146073500</v>
      </c>
      <c r="X587" s="862">
        <f t="shared" si="161"/>
        <v>67677000</v>
      </c>
      <c r="Y587" s="862">
        <f t="shared" si="162"/>
        <v>2500000000</v>
      </c>
    </row>
    <row r="588" spans="1:25" ht="24.95" customHeight="1">
      <c r="A588" s="953">
        <v>41</v>
      </c>
      <c r="B588" s="899" t="s">
        <v>613</v>
      </c>
      <c r="C588" s="876"/>
      <c r="D588" s="870" t="s">
        <v>825</v>
      </c>
      <c r="E588" s="898">
        <v>7543138</v>
      </c>
      <c r="F588" s="862"/>
      <c r="G588" s="862">
        <v>6000000000</v>
      </c>
      <c r="H588" s="862">
        <v>100000000</v>
      </c>
      <c r="I588" s="862"/>
      <c r="J588" s="862">
        <v>100000000</v>
      </c>
      <c r="K588" s="862"/>
      <c r="L588" s="862"/>
      <c r="M588" s="862"/>
      <c r="N588" s="862"/>
      <c r="O588" s="862"/>
      <c r="P588" s="862"/>
      <c r="Q588" s="862"/>
      <c r="R588" s="862"/>
      <c r="S588" s="862"/>
      <c r="T588" s="862"/>
      <c r="U588" s="862"/>
      <c r="V588" s="862"/>
      <c r="W588" s="862">
        <f t="shared" si="160"/>
        <v>100000000</v>
      </c>
      <c r="X588" s="862">
        <f t="shared" si="161"/>
        <v>0</v>
      </c>
      <c r="Y588" s="862">
        <f t="shared" si="162"/>
        <v>6000000000</v>
      </c>
    </row>
    <row r="589" spans="1:25" ht="24.95" customHeight="1">
      <c r="A589" s="953">
        <v>42</v>
      </c>
      <c r="B589" s="899" t="s">
        <v>618</v>
      </c>
      <c r="C589" s="876"/>
      <c r="D589" s="870" t="s">
        <v>825</v>
      </c>
      <c r="E589" s="898">
        <v>7543165</v>
      </c>
      <c r="F589" s="862"/>
      <c r="G589" s="862">
        <v>6999778000</v>
      </c>
      <c r="H589" s="862">
        <v>102677000</v>
      </c>
      <c r="I589" s="862"/>
      <c r="J589" s="862">
        <v>102677000</v>
      </c>
      <c r="K589" s="862"/>
      <c r="L589" s="862"/>
      <c r="M589" s="862"/>
      <c r="N589" s="862"/>
      <c r="O589" s="862"/>
      <c r="P589" s="862"/>
      <c r="Q589" s="862"/>
      <c r="R589" s="862"/>
      <c r="S589" s="862"/>
      <c r="T589" s="862"/>
      <c r="U589" s="862"/>
      <c r="V589" s="862"/>
      <c r="W589" s="862">
        <f t="shared" si="160"/>
        <v>102677000</v>
      </c>
      <c r="X589" s="862">
        <f t="shared" si="161"/>
        <v>0</v>
      </c>
      <c r="Y589" s="862">
        <f t="shared" si="162"/>
        <v>6999778000</v>
      </c>
    </row>
    <row r="590" spans="1:25" ht="24.95" customHeight="1">
      <c r="A590" s="953">
        <v>43</v>
      </c>
      <c r="B590" s="899" t="s">
        <v>574</v>
      </c>
      <c r="C590" s="876"/>
      <c r="D590" s="870" t="s">
        <v>825</v>
      </c>
      <c r="E590" s="898">
        <v>7543171</v>
      </c>
      <c r="F590" s="862"/>
      <c r="G590" s="862">
        <v>8863000000</v>
      </c>
      <c r="H590" s="862">
        <v>198614000</v>
      </c>
      <c r="I590" s="862"/>
      <c r="J590" s="862">
        <v>198614000</v>
      </c>
      <c r="K590" s="862"/>
      <c r="L590" s="862"/>
      <c r="M590" s="862"/>
      <c r="N590" s="862"/>
      <c r="O590" s="862"/>
      <c r="P590" s="862"/>
      <c r="Q590" s="862"/>
      <c r="R590" s="862"/>
      <c r="S590" s="862"/>
      <c r="T590" s="862"/>
      <c r="U590" s="862"/>
      <c r="V590" s="862"/>
      <c r="W590" s="862">
        <f t="shared" si="160"/>
        <v>198614000</v>
      </c>
      <c r="X590" s="862">
        <f t="shared" si="161"/>
        <v>0</v>
      </c>
      <c r="Y590" s="862">
        <f t="shared" si="162"/>
        <v>8863000000</v>
      </c>
    </row>
    <row r="591" spans="1:25" ht="24.95" customHeight="1">
      <c r="A591" s="953">
        <v>44</v>
      </c>
      <c r="B591" s="899" t="s">
        <v>573</v>
      </c>
      <c r="C591" s="876"/>
      <c r="D591" s="870" t="s">
        <v>825</v>
      </c>
      <c r="E591" s="898">
        <v>7543183</v>
      </c>
      <c r="F591" s="862"/>
      <c r="G591" s="862">
        <v>7540000000</v>
      </c>
      <c r="H591" s="862">
        <v>113743000</v>
      </c>
      <c r="I591" s="862"/>
      <c r="J591" s="862">
        <v>113743000</v>
      </c>
      <c r="K591" s="862"/>
      <c r="L591" s="862"/>
      <c r="M591" s="862"/>
      <c r="N591" s="862"/>
      <c r="O591" s="862"/>
      <c r="P591" s="862"/>
      <c r="Q591" s="862"/>
      <c r="R591" s="862"/>
      <c r="S591" s="862"/>
      <c r="T591" s="862"/>
      <c r="U591" s="862"/>
      <c r="V591" s="862"/>
      <c r="W591" s="862">
        <f t="shared" si="160"/>
        <v>113743000</v>
      </c>
      <c r="X591" s="862">
        <f t="shared" si="161"/>
        <v>0</v>
      </c>
      <c r="Y591" s="862">
        <f t="shared" si="162"/>
        <v>7540000000</v>
      </c>
    </row>
    <row r="592" spans="1:25" ht="24.95" customHeight="1">
      <c r="A592" s="953">
        <v>45</v>
      </c>
      <c r="B592" s="899" t="s">
        <v>620</v>
      </c>
      <c r="C592" s="876"/>
      <c r="D592" s="870" t="s">
        <v>825</v>
      </c>
      <c r="E592" s="898">
        <v>7546541</v>
      </c>
      <c r="F592" s="862"/>
      <c r="G592" s="862">
        <v>11708521000</v>
      </c>
      <c r="H592" s="862">
        <v>100000000</v>
      </c>
      <c r="I592" s="862"/>
      <c r="J592" s="862">
        <v>100000000</v>
      </c>
      <c r="K592" s="862"/>
      <c r="L592" s="862"/>
      <c r="M592" s="862"/>
      <c r="N592" s="862"/>
      <c r="O592" s="862"/>
      <c r="P592" s="862"/>
      <c r="Q592" s="862"/>
      <c r="R592" s="862"/>
      <c r="S592" s="862"/>
      <c r="T592" s="862"/>
      <c r="U592" s="862"/>
      <c r="V592" s="862"/>
      <c r="W592" s="862">
        <f t="shared" si="160"/>
        <v>100000000</v>
      </c>
      <c r="X592" s="862">
        <f t="shared" si="161"/>
        <v>0</v>
      </c>
      <c r="Y592" s="862">
        <f t="shared" si="162"/>
        <v>11708521000</v>
      </c>
    </row>
    <row r="593" spans="1:25" ht="24.95" customHeight="1">
      <c r="A593" s="953">
        <v>46</v>
      </c>
      <c r="B593" s="909" t="s">
        <v>609</v>
      </c>
      <c r="C593" s="876"/>
      <c r="D593" s="870" t="s">
        <v>825</v>
      </c>
      <c r="E593" s="898">
        <v>7546546</v>
      </c>
      <c r="F593" s="862"/>
      <c r="G593" s="862">
        <v>17934619000</v>
      </c>
      <c r="H593" s="862">
        <v>9597341799</v>
      </c>
      <c r="I593" s="862"/>
      <c r="J593" s="862">
        <v>9597341799</v>
      </c>
      <c r="K593" s="862"/>
      <c r="L593" s="862"/>
      <c r="M593" s="862"/>
      <c r="N593" s="862"/>
      <c r="O593" s="862"/>
      <c r="P593" s="862"/>
      <c r="Q593" s="862"/>
      <c r="R593" s="862"/>
      <c r="S593" s="862"/>
      <c r="T593" s="862"/>
      <c r="U593" s="862"/>
      <c r="V593" s="862"/>
      <c r="W593" s="862">
        <f t="shared" si="160"/>
        <v>9597341799</v>
      </c>
      <c r="X593" s="862">
        <f t="shared" si="161"/>
        <v>0</v>
      </c>
      <c r="Y593" s="862">
        <f t="shared" si="162"/>
        <v>17934619000</v>
      </c>
    </row>
    <row r="594" spans="1:25" ht="24.95" customHeight="1">
      <c r="A594" s="953">
        <v>47</v>
      </c>
      <c r="B594" s="899" t="s">
        <v>615</v>
      </c>
      <c r="C594" s="876"/>
      <c r="D594" s="870" t="s">
        <v>825</v>
      </c>
      <c r="E594" s="898">
        <v>7549871</v>
      </c>
      <c r="F594" s="862"/>
      <c r="G594" s="862">
        <v>4700000000</v>
      </c>
      <c r="H594" s="862">
        <v>310000000</v>
      </c>
      <c r="I594" s="862"/>
      <c r="J594" s="862">
        <v>310000000</v>
      </c>
      <c r="K594" s="862"/>
      <c r="L594" s="862"/>
      <c r="M594" s="862"/>
      <c r="N594" s="862"/>
      <c r="O594" s="862"/>
      <c r="P594" s="862"/>
      <c r="Q594" s="862"/>
      <c r="R594" s="862"/>
      <c r="S594" s="862"/>
      <c r="T594" s="862"/>
      <c r="U594" s="862"/>
      <c r="V594" s="862"/>
      <c r="W594" s="862">
        <f t="shared" si="160"/>
        <v>310000000</v>
      </c>
      <c r="X594" s="862">
        <f t="shared" si="161"/>
        <v>0</v>
      </c>
      <c r="Y594" s="862">
        <f t="shared" si="162"/>
        <v>4700000000</v>
      </c>
    </row>
    <row r="595" spans="1:25" ht="24.95" customHeight="1">
      <c r="A595" s="953">
        <v>48</v>
      </c>
      <c r="B595" s="899" t="s">
        <v>614</v>
      </c>
      <c r="C595" s="876"/>
      <c r="D595" s="870" t="s">
        <v>825</v>
      </c>
      <c r="E595" s="898">
        <v>7549877</v>
      </c>
      <c r="F595" s="862"/>
      <c r="G595" s="862">
        <v>4704000000</v>
      </c>
      <c r="H595" s="862">
        <v>92000000</v>
      </c>
      <c r="I595" s="862"/>
      <c r="J595" s="862">
        <v>92000000</v>
      </c>
      <c r="K595" s="862"/>
      <c r="L595" s="862"/>
      <c r="M595" s="862"/>
      <c r="N595" s="862"/>
      <c r="O595" s="862"/>
      <c r="P595" s="862"/>
      <c r="Q595" s="862"/>
      <c r="R595" s="862"/>
      <c r="S595" s="862"/>
      <c r="T595" s="862"/>
      <c r="U595" s="862"/>
      <c r="V595" s="862"/>
      <c r="W595" s="862">
        <f t="shared" si="160"/>
        <v>92000000</v>
      </c>
      <c r="X595" s="862">
        <f t="shared" si="161"/>
        <v>0</v>
      </c>
      <c r="Y595" s="862">
        <f t="shared" si="162"/>
        <v>4704000000</v>
      </c>
    </row>
    <row r="596" spans="1:25" ht="24.95" customHeight="1">
      <c r="A596" s="953">
        <v>49</v>
      </c>
      <c r="B596" s="899" t="s">
        <v>575</v>
      </c>
      <c r="C596" s="876"/>
      <c r="D596" s="870" t="s">
        <v>825</v>
      </c>
      <c r="E596" s="898">
        <v>7549968</v>
      </c>
      <c r="F596" s="862"/>
      <c r="G596" s="862">
        <v>5500000000</v>
      </c>
      <c r="H596" s="862">
        <v>2512916000</v>
      </c>
      <c r="I596" s="862"/>
      <c r="J596" s="862">
        <v>2512916000</v>
      </c>
      <c r="K596" s="862"/>
      <c r="L596" s="862"/>
      <c r="M596" s="862"/>
      <c r="N596" s="862"/>
      <c r="O596" s="862"/>
      <c r="P596" s="862"/>
      <c r="Q596" s="862"/>
      <c r="R596" s="862"/>
      <c r="S596" s="862"/>
      <c r="T596" s="862"/>
      <c r="U596" s="862"/>
      <c r="V596" s="862"/>
      <c r="W596" s="862">
        <f t="shared" si="160"/>
        <v>2512916000</v>
      </c>
      <c r="X596" s="862">
        <f t="shared" si="161"/>
        <v>0</v>
      </c>
      <c r="Y596" s="862">
        <f t="shared" si="162"/>
        <v>5500000000</v>
      </c>
    </row>
    <row r="597" spans="1:25" ht="24.95" customHeight="1">
      <c r="A597" s="953">
        <v>50</v>
      </c>
      <c r="B597" s="899" t="s">
        <v>616</v>
      </c>
      <c r="C597" s="876"/>
      <c r="D597" s="870" t="s">
        <v>825</v>
      </c>
      <c r="E597" s="898">
        <v>7549971</v>
      </c>
      <c r="F597" s="862"/>
      <c r="G597" s="862">
        <v>6000000000</v>
      </c>
      <c r="H597" s="862">
        <v>29937000</v>
      </c>
      <c r="I597" s="862"/>
      <c r="J597" s="862">
        <v>29937000</v>
      </c>
      <c r="K597" s="862"/>
      <c r="L597" s="862"/>
      <c r="M597" s="862"/>
      <c r="N597" s="862"/>
      <c r="O597" s="862"/>
      <c r="P597" s="862"/>
      <c r="Q597" s="862"/>
      <c r="R597" s="862"/>
      <c r="S597" s="862"/>
      <c r="T597" s="862"/>
      <c r="U597" s="862"/>
      <c r="V597" s="862"/>
      <c r="W597" s="862">
        <f t="shared" si="160"/>
        <v>29937000</v>
      </c>
      <c r="X597" s="862">
        <f t="shared" si="161"/>
        <v>0</v>
      </c>
      <c r="Y597" s="862">
        <f t="shared" si="162"/>
        <v>6000000000</v>
      </c>
    </row>
    <row r="598" spans="1:25" ht="24.95" customHeight="1">
      <c r="A598" s="953">
        <v>51</v>
      </c>
      <c r="B598" s="899" t="s">
        <v>1197</v>
      </c>
      <c r="C598" s="876"/>
      <c r="D598" s="870" t="s">
        <v>825</v>
      </c>
      <c r="E598" s="898">
        <v>7551385</v>
      </c>
      <c r="F598" s="862"/>
      <c r="G598" s="862">
        <v>184307193</v>
      </c>
      <c r="H598" s="862">
        <v>49400000</v>
      </c>
      <c r="I598" s="862"/>
      <c r="J598" s="862">
        <v>49400000</v>
      </c>
      <c r="K598" s="862"/>
      <c r="L598" s="862"/>
      <c r="M598" s="862"/>
      <c r="N598" s="862"/>
      <c r="O598" s="862"/>
      <c r="P598" s="862"/>
      <c r="Q598" s="862"/>
      <c r="R598" s="862"/>
      <c r="S598" s="862"/>
      <c r="T598" s="862"/>
      <c r="U598" s="862"/>
      <c r="V598" s="862"/>
      <c r="W598" s="862">
        <f t="shared" si="160"/>
        <v>49400000</v>
      </c>
      <c r="X598" s="862">
        <f t="shared" si="161"/>
        <v>0</v>
      </c>
      <c r="Y598" s="862">
        <f t="shared" si="162"/>
        <v>184307193</v>
      </c>
    </row>
    <row r="599" spans="1:25" ht="24.95" customHeight="1">
      <c r="A599" s="953">
        <v>52</v>
      </c>
      <c r="B599" s="899" t="s">
        <v>1198</v>
      </c>
      <c r="C599" s="876"/>
      <c r="D599" s="870" t="s">
        <v>825</v>
      </c>
      <c r="E599" s="898">
        <v>7551388</v>
      </c>
      <c r="F599" s="862"/>
      <c r="G599" s="862">
        <v>279503685</v>
      </c>
      <c r="H599" s="862">
        <v>85900000</v>
      </c>
      <c r="I599" s="862"/>
      <c r="J599" s="862">
        <v>85900000</v>
      </c>
      <c r="K599" s="862"/>
      <c r="L599" s="862"/>
      <c r="M599" s="862"/>
      <c r="N599" s="862"/>
      <c r="O599" s="862"/>
      <c r="P599" s="862"/>
      <c r="Q599" s="862"/>
      <c r="R599" s="862"/>
      <c r="S599" s="862"/>
      <c r="T599" s="862"/>
      <c r="U599" s="862"/>
      <c r="V599" s="862"/>
      <c r="W599" s="862">
        <f t="shared" si="160"/>
        <v>85900000</v>
      </c>
      <c r="X599" s="862">
        <f t="shared" si="161"/>
        <v>0</v>
      </c>
      <c r="Y599" s="862">
        <f t="shared" si="162"/>
        <v>279503685</v>
      </c>
    </row>
    <row r="600" spans="1:25" ht="24.95" customHeight="1">
      <c r="A600" s="953">
        <v>53</v>
      </c>
      <c r="B600" s="899" t="s">
        <v>1199</v>
      </c>
      <c r="C600" s="876"/>
      <c r="D600" s="870" t="s">
        <v>825</v>
      </c>
      <c r="E600" s="898">
        <v>7551394</v>
      </c>
      <c r="F600" s="862"/>
      <c r="G600" s="862">
        <v>165381072</v>
      </c>
      <c r="H600" s="862">
        <v>53000000</v>
      </c>
      <c r="I600" s="862"/>
      <c r="J600" s="862">
        <v>53000000</v>
      </c>
      <c r="K600" s="862"/>
      <c r="L600" s="862"/>
      <c r="M600" s="862"/>
      <c r="N600" s="862"/>
      <c r="O600" s="862"/>
      <c r="P600" s="862"/>
      <c r="Q600" s="862"/>
      <c r="R600" s="862"/>
      <c r="S600" s="862"/>
      <c r="T600" s="862"/>
      <c r="U600" s="862"/>
      <c r="V600" s="862"/>
      <c r="W600" s="862">
        <f t="shared" si="160"/>
        <v>53000000</v>
      </c>
      <c r="X600" s="862">
        <f t="shared" si="161"/>
        <v>0</v>
      </c>
      <c r="Y600" s="862">
        <f t="shared" si="162"/>
        <v>165381072</v>
      </c>
    </row>
    <row r="601" spans="1:25" ht="24.95" customHeight="1">
      <c r="A601" s="953">
        <v>54</v>
      </c>
      <c r="B601" s="899" t="s">
        <v>1200</v>
      </c>
      <c r="C601" s="876"/>
      <c r="D601" s="870" t="s">
        <v>825</v>
      </c>
      <c r="E601" s="898">
        <v>7551396</v>
      </c>
      <c r="F601" s="862"/>
      <c r="G601" s="862">
        <v>165106427</v>
      </c>
      <c r="H601" s="862">
        <v>52900000</v>
      </c>
      <c r="I601" s="862"/>
      <c r="J601" s="862">
        <v>52900000</v>
      </c>
      <c r="K601" s="862"/>
      <c r="L601" s="862"/>
      <c r="M601" s="862"/>
      <c r="N601" s="862"/>
      <c r="O601" s="862"/>
      <c r="P601" s="862"/>
      <c r="Q601" s="862"/>
      <c r="R601" s="862"/>
      <c r="S601" s="862"/>
      <c r="T601" s="862"/>
      <c r="U601" s="862"/>
      <c r="V601" s="862"/>
      <c r="W601" s="862">
        <f t="shared" si="160"/>
        <v>52900000</v>
      </c>
      <c r="X601" s="862">
        <f t="shared" si="161"/>
        <v>0</v>
      </c>
      <c r="Y601" s="862">
        <f t="shared" si="162"/>
        <v>165106427</v>
      </c>
    </row>
    <row r="602" spans="1:25" ht="24.95" customHeight="1">
      <c r="A602" s="953">
        <v>55</v>
      </c>
      <c r="B602" s="899" t="s">
        <v>1201</v>
      </c>
      <c r="C602" s="876"/>
      <c r="D602" s="870" t="s">
        <v>825</v>
      </c>
      <c r="E602" s="898">
        <v>7551398</v>
      </c>
      <c r="F602" s="862"/>
      <c r="G602" s="862">
        <v>436150944</v>
      </c>
      <c r="H602" s="862">
        <v>147100000</v>
      </c>
      <c r="I602" s="862"/>
      <c r="J602" s="862">
        <v>147100000</v>
      </c>
      <c r="K602" s="862"/>
      <c r="L602" s="862"/>
      <c r="M602" s="862"/>
      <c r="N602" s="862"/>
      <c r="O602" s="862"/>
      <c r="P602" s="862"/>
      <c r="Q602" s="862"/>
      <c r="R602" s="862"/>
      <c r="S602" s="862"/>
      <c r="T602" s="862"/>
      <c r="U602" s="862"/>
      <c r="V602" s="862"/>
      <c r="W602" s="862">
        <f t="shared" si="160"/>
        <v>147100000</v>
      </c>
      <c r="X602" s="862">
        <f t="shared" si="161"/>
        <v>0</v>
      </c>
      <c r="Y602" s="862">
        <f t="shared" si="162"/>
        <v>436150944</v>
      </c>
    </row>
    <row r="603" spans="1:25" ht="24.95" customHeight="1">
      <c r="A603" s="953">
        <v>56</v>
      </c>
      <c r="B603" s="899" t="s">
        <v>1202</v>
      </c>
      <c r="C603" s="876"/>
      <c r="D603" s="870" t="s">
        <v>825</v>
      </c>
      <c r="E603" s="898">
        <v>7551400</v>
      </c>
      <c r="F603" s="862"/>
      <c r="G603" s="862">
        <v>242078440</v>
      </c>
      <c r="H603" s="862">
        <v>82800000</v>
      </c>
      <c r="I603" s="862"/>
      <c r="J603" s="862">
        <v>82800000</v>
      </c>
      <c r="K603" s="862"/>
      <c r="L603" s="862"/>
      <c r="M603" s="862"/>
      <c r="N603" s="862"/>
      <c r="O603" s="862"/>
      <c r="P603" s="862"/>
      <c r="Q603" s="862"/>
      <c r="R603" s="862"/>
      <c r="S603" s="862"/>
      <c r="T603" s="862"/>
      <c r="U603" s="862"/>
      <c r="V603" s="862"/>
      <c r="W603" s="862">
        <f t="shared" si="160"/>
        <v>82800000</v>
      </c>
      <c r="X603" s="862">
        <f t="shared" si="161"/>
        <v>0</v>
      </c>
      <c r="Y603" s="862">
        <f t="shared" si="162"/>
        <v>242078440</v>
      </c>
    </row>
    <row r="604" spans="1:25" ht="15" customHeight="1">
      <c r="A604" s="953">
        <v>57</v>
      </c>
      <c r="B604" s="960" t="s">
        <v>1203</v>
      </c>
      <c r="C604" s="876"/>
      <c r="D604" s="870" t="s">
        <v>825</v>
      </c>
      <c r="E604" s="898">
        <v>7561649</v>
      </c>
      <c r="F604" s="862"/>
      <c r="G604" s="862">
        <v>980000000</v>
      </c>
      <c r="H604" s="862">
        <v>980000000</v>
      </c>
      <c r="I604" s="862"/>
      <c r="J604" s="862"/>
      <c r="K604" s="862"/>
      <c r="L604" s="862"/>
      <c r="M604" s="862"/>
      <c r="N604" s="862"/>
      <c r="O604" s="862"/>
      <c r="P604" s="862"/>
      <c r="Q604" s="862"/>
      <c r="R604" s="862"/>
      <c r="S604" s="862"/>
      <c r="T604" s="862"/>
      <c r="U604" s="862"/>
      <c r="V604" s="862"/>
      <c r="W604" s="862">
        <f t="shared" si="160"/>
        <v>0</v>
      </c>
      <c r="X604" s="862">
        <f t="shared" si="161"/>
        <v>980000000</v>
      </c>
      <c r="Y604" s="862">
        <f t="shared" si="162"/>
        <v>980000000</v>
      </c>
    </row>
    <row r="605" spans="1:25" ht="24.95" customHeight="1">
      <c r="A605" s="953">
        <v>58</v>
      </c>
      <c r="B605" s="960" t="s">
        <v>626</v>
      </c>
      <c r="C605" s="876"/>
      <c r="D605" s="870" t="s">
        <v>825</v>
      </c>
      <c r="E605" s="898">
        <v>7572045</v>
      </c>
      <c r="F605" s="862"/>
      <c r="G605" s="862">
        <v>249692000</v>
      </c>
      <c r="H605" s="862">
        <v>117065000</v>
      </c>
      <c r="I605" s="862"/>
      <c r="J605" s="862">
        <v>117065000</v>
      </c>
      <c r="K605" s="862"/>
      <c r="L605" s="862"/>
      <c r="M605" s="862"/>
      <c r="N605" s="862"/>
      <c r="O605" s="862"/>
      <c r="P605" s="862"/>
      <c r="Q605" s="862"/>
      <c r="R605" s="862"/>
      <c r="S605" s="862"/>
      <c r="T605" s="862"/>
      <c r="U605" s="862"/>
      <c r="V605" s="862"/>
      <c r="W605" s="862">
        <f t="shared" si="160"/>
        <v>117065000</v>
      </c>
      <c r="X605" s="862">
        <f t="shared" si="161"/>
        <v>0</v>
      </c>
      <c r="Y605" s="862">
        <f t="shared" si="162"/>
        <v>249692000</v>
      </c>
    </row>
    <row r="606" spans="1:25" ht="24.95" customHeight="1">
      <c r="A606" s="953">
        <v>59</v>
      </c>
      <c r="B606" s="960" t="s">
        <v>1022</v>
      </c>
      <c r="C606" s="876"/>
      <c r="D606" s="870" t="s">
        <v>825</v>
      </c>
      <c r="E606" s="898">
        <v>7594578</v>
      </c>
      <c r="F606" s="862"/>
      <c r="G606" s="862">
        <v>200000000</v>
      </c>
      <c r="H606" s="862">
        <v>155288000</v>
      </c>
      <c r="I606" s="862"/>
      <c r="J606" s="862">
        <v>155288000</v>
      </c>
      <c r="K606" s="862"/>
      <c r="L606" s="862"/>
      <c r="M606" s="862"/>
      <c r="N606" s="862"/>
      <c r="O606" s="862"/>
      <c r="P606" s="862"/>
      <c r="Q606" s="862"/>
      <c r="R606" s="862"/>
      <c r="S606" s="862"/>
      <c r="T606" s="862"/>
      <c r="U606" s="862"/>
      <c r="V606" s="862"/>
      <c r="W606" s="862">
        <f t="shared" si="160"/>
        <v>155288000</v>
      </c>
      <c r="X606" s="862">
        <f t="shared" si="161"/>
        <v>0</v>
      </c>
      <c r="Y606" s="862">
        <f t="shared" si="162"/>
        <v>200000000</v>
      </c>
    </row>
    <row r="607" spans="1:25" ht="15" customHeight="1">
      <c r="A607" s="951" t="s">
        <v>130</v>
      </c>
      <c r="B607" s="915" t="s">
        <v>1204</v>
      </c>
      <c r="C607" s="876"/>
      <c r="D607" s="870" t="s">
        <v>825</v>
      </c>
      <c r="E607" s="951"/>
      <c r="F607" s="884">
        <f>SUM(F608:F610)</f>
        <v>0</v>
      </c>
      <c r="G607" s="884">
        <f t="shared" ref="G607:Y607" si="163">SUM(G608:G610)</f>
        <v>146794304133</v>
      </c>
      <c r="H607" s="884">
        <f t="shared" si="163"/>
        <v>5241754000</v>
      </c>
      <c r="I607" s="884">
        <f t="shared" si="163"/>
        <v>0</v>
      </c>
      <c r="J607" s="884">
        <f t="shared" si="163"/>
        <v>195461000</v>
      </c>
      <c r="K607" s="884">
        <f t="shared" si="163"/>
        <v>0</v>
      </c>
      <c r="L607" s="884">
        <f t="shared" si="163"/>
        <v>0</v>
      </c>
      <c r="M607" s="884">
        <f t="shared" si="163"/>
        <v>0</v>
      </c>
      <c r="N607" s="884">
        <f t="shared" si="163"/>
        <v>0</v>
      </c>
      <c r="O607" s="884">
        <f t="shared" si="163"/>
        <v>0</v>
      </c>
      <c r="P607" s="884">
        <f t="shared" si="163"/>
        <v>0</v>
      </c>
      <c r="Q607" s="884">
        <f t="shared" si="163"/>
        <v>0</v>
      </c>
      <c r="R607" s="884">
        <f t="shared" si="163"/>
        <v>0</v>
      </c>
      <c r="S607" s="884">
        <f t="shared" si="163"/>
        <v>0</v>
      </c>
      <c r="T607" s="884">
        <f t="shared" si="163"/>
        <v>0</v>
      </c>
      <c r="U607" s="884">
        <f t="shared" si="163"/>
        <v>0</v>
      </c>
      <c r="V607" s="884">
        <f t="shared" si="163"/>
        <v>0</v>
      </c>
      <c r="W607" s="884">
        <f t="shared" si="163"/>
        <v>195461000</v>
      </c>
      <c r="X607" s="884">
        <f t="shared" si="163"/>
        <v>5046293000</v>
      </c>
      <c r="Y607" s="884">
        <f t="shared" si="163"/>
        <v>146794304133</v>
      </c>
    </row>
    <row r="608" spans="1:25" ht="15" customHeight="1">
      <c r="A608" s="953">
        <v>1</v>
      </c>
      <c r="B608" s="865" t="s">
        <v>532</v>
      </c>
      <c r="C608" s="876"/>
      <c r="D608" s="870" t="s">
        <v>825</v>
      </c>
      <c r="E608" s="953">
        <v>7008259</v>
      </c>
      <c r="F608" s="862"/>
      <c r="G608" s="862">
        <v>94783566508</v>
      </c>
      <c r="H608" s="862">
        <v>3800000000</v>
      </c>
      <c r="I608" s="862"/>
      <c r="J608" s="862"/>
      <c r="K608" s="862"/>
      <c r="L608" s="862"/>
      <c r="M608" s="862"/>
      <c r="N608" s="862"/>
      <c r="O608" s="862"/>
      <c r="P608" s="862"/>
      <c r="Q608" s="862"/>
      <c r="R608" s="862"/>
      <c r="S608" s="862"/>
      <c r="T608" s="862"/>
      <c r="U608" s="862"/>
      <c r="V608" s="862"/>
      <c r="W608" s="862">
        <f t="shared" si="156"/>
        <v>0</v>
      </c>
      <c r="X608" s="862">
        <f t="shared" si="157"/>
        <v>3800000000</v>
      </c>
      <c r="Y608" s="862">
        <f t="shared" si="158"/>
        <v>94783566508</v>
      </c>
    </row>
    <row r="609" spans="1:25" ht="24.95" customHeight="1">
      <c r="A609" s="953">
        <v>2</v>
      </c>
      <c r="B609" s="865" t="s">
        <v>533</v>
      </c>
      <c r="C609" s="876"/>
      <c r="D609" s="870" t="s">
        <v>825</v>
      </c>
      <c r="E609" s="953">
        <v>7034499</v>
      </c>
      <c r="F609" s="862"/>
      <c r="G609" s="862">
        <v>37166116125</v>
      </c>
      <c r="H609" s="862">
        <v>1420754000</v>
      </c>
      <c r="I609" s="862"/>
      <c r="J609" s="862">
        <v>195461000</v>
      </c>
      <c r="K609" s="862"/>
      <c r="L609" s="862"/>
      <c r="M609" s="862"/>
      <c r="N609" s="862"/>
      <c r="O609" s="862"/>
      <c r="P609" s="862"/>
      <c r="Q609" s="862"/>
      <c r="R609" s="862"/>
      <c r="S609" s="862"/>
      <c r="T609" s="862"/>
      <c r="U609" s="862"/>
      <c r="V609" s="862"/>
      <c r="W609" s="862">
        <f t="shared" si="156"/>
        <v>195461000</v>
      </c>
      <c r="X609" s="862">
        <f t="shared" si="157"/>
        <v>1225293000</v>
      </c>
      <c r="Y609" s="862">
        <f t="shared" si="158"/>
        <v>37166116125</v>
      </c>
    </row>
    <row r="610" spans="1:25" ht="15" customHeight="1">
      <c r="A610" s="953">
        <v>3</v>
      </c>
      <c r="B610" s="899" t="s">
        <v>1205</v>
      </c>
      <c r="C610" s="876"/>
      <c r="D610" s="870" t="s">
        <v>825</v>
      </c>
      <c r="E610" s="958">
        <v>7235549</v>
      </c>
      <c r="F610" s="862"/>
      <c r="G610" s="862">
        <v>14844621500</v>
      </c>
      <c r="H610" s="862">
        <v>21000000</v>
      </c>
      <c r="I610" s="862"/>
      <c r="J610" s="862"/>
      <c r="K610" s="862"/>
      <c r="L610" s="862"/>
      <c r="M610" s="862"/>
      <c r="N610" s="862"/>
      <c r="O610" s="862"/>
      <c r="P610" s="862"/>
      <c r="Q610" s="862"/>
      <c r="R610" s="862"/>
      <c r="S610" s="862"/>
      <c r="T610" s="862"/>
      <c r="U610" s="862"/>
      <c r="V610" s="862"/>
      <c r="W610" s="862">
        <f t="shared" si="156"/>
        <v>0</v>
      </c>
      <c r="X610" s="862">
        <f t="shared" si="157"/>
        <v>21000000</v>
      </c>
      <c r="Y610" s="862">
        <f t="shared" si="158"/>
        <v>14844621500</v>
      </c>
    </row>
    <row r="611" spans="1:25" ht="24.95" customHeight="1">
      <c r="A611" s="951" t="s">
        <v>401</v>
      </c>
      <c r="B611" s="915" t="s">
        <v>1206</v>
      </c>
      <c r="C611" s="876"/>
      <c r="D611" s="870"/>
      <c r="E611" s="872"/>
      <c r="F611" s="884">
        <f>SUM(F612:F631)</f>
        <v>0</v>
      </c>
      <c r="G611" s="884">
        <f>SUM(G612:G631)</f>
        <v>334873889522</v>
      </c>
      <c r="H611" s="884">
        <f t="shared" ref="H611:Y611" si="164">SUM(H612:H631)</f>
        <v>16036770818</v>
      </c>
      <c r="I611" s="884">
        <f t="shared" si="164"/>
        <v>17261329</v>
      </c>
      <c r="J611" s="884">
        <f t="shared" si="164"/>
        <v>7001012481</v>
      </c>
      <c r="K611" s="884">
        <f t="shared" si="164"/>
        <v>0</v>
      </c>
      <c r="L611" s="884">
        <f t="shared" si="164"/>
        <v>0</v>
      </c>
      <c r="M611" s="884">
        <f t="shared" si="164"/>
        <v>0</v>
      </c>
      <c r="N611" s="884">
        <f t="shared" si="164"/>
        <v>0</v>
      </c>
      <c r="O611" s="884">
        <f t="shared" si="164"/>
        <v>0</v>
      </c>
      <c r="P611" s="884">
        <f t="shared" si="164"/>
        <v>0</v>
      </c>
      <c r="Q611" s="884">
        <f t="shared" si="164"/>
        <v>0</v>
      </c>
      <c r="R611" s="884">
        <f t="shared" si="164"/>
        <v>0</v>
      </c>
      <c r="S611" s="884">
        <f t="shared" si="164"/>
        <v>0</v>
      </c>
      <c r="T611" s="884">
        <f t="shared" si="164"/>
        <v>0</v>
      </c>
      <c r="U611" s="884">
        <f t="shared" si="164"/>
        <v>0</v>
      </c>
      <c r="V611" s="884">
        <f t="shared" si="164"/>
        <v>0</v>
      </c>
      <c r="W611" s="884">
        <f t="shared" si="164"/>
        <v>7001012481</v>
      </c>
      <c r="X611" s="884">
        <f t="shared" si="164"/>
        <v>9018497008</v>
      </c>
      <c r="Y611" s="884">
        <f t="shared" si="164"/>
        <v>332102066522</v>
      </c>
    </row>
    <row r="612" spans="1:25" ht="24.95" customHeight="1">
      <c r="A612" s="953">
        <v>1</v>
      </c>
      <c r="B612" s="899" t="s">
        <v>898</v>
      </c>
      <c r="C612" s="876"/>
      <c r="D612" s="870"/>
      <c r="E612" s="898"/>
      <c r="F612" s="862"/>
      <c r="G612" s="862"/>
      <c r="H612" s="862"/>
      <c r="I612" s="862"/>
      <c r="J612" s="862"/>
      <c r="K612" s="862"/>
      <c r="L612" s="862"/>
      <c r="M612" s="862"/>
      <c r="N612" s="862"/>
      <c r="O612" s="862"/>
      <c r="P612" s="862"/>
      <c r="Q612" s="862"/>
      <c r="R612" s="862"/>
      <c r="S612" s="862"/>
      <c r="T612" s="862"/>
      <c r="U612" s="862"/>
      <c r="V612" s="862"/>
      <c r="W612" s="862">
        <f t="shared" ref="W612:W631" si="165">J612+M612+S612</f>
        <v>0</v>
      </c>
      <c r="X612" s="862">
        <f t="shared" ref="X612:X631" si="166">H612-I612-J612+N612+T612</f>
        <v>0</v>
      </c>
      <c r="Y612" s="862">
        <f t="shared" ref="Y612:Y631" si="167">G612+L612+R612</f>
        <v>0</v>
      </c>
    </row>
    <row r="613" spans="1:25" s="512" customFormat="1" ht="24.95" customHeight="1">
      <c r="A613" s="954"/>
      <c r="B613" s="902" t="s">
        <v>1519</v>
      </c>
      <c r="C613" s="880"/>
      <c r="D613" s="870" t="s">
        <v>825</v>
      </c>
      <c r="E613" s="898">
        <v>7004686</v>
      </c>
      <c r="F613" s="886"/>
      <c r="G613" s="886">
        <v>1619615000</v>
      </c>
      <c r="H613" s="886">
        <v>557000000</v>
      </c>
      <c r="I613" s="886"/>
      <c r="J613" s="886">
        <f>512000000+45000000</f>
        <v>557000000</v>
      </c>
      <c r="K613" s="886"/>
      <c r="L613" s="886"/>
      <c r="M613" s="886"/>
      <c r="N613" s="886"/>
      <c r="O613" s="886"/>
      <c r="P613" s="886"/>
      <c r="Q613" s="886"/>
      <c r="R613" s="886"/>
      <c r="S613" s="886"/>
      <c r="T613" s="886"/>
      <c r="U613" s="886"/>
      <c r="V613" s="886"/>
      <c r="W613" s="886">
        <f t="shared" si="165"/>
        <v>557000000</v>
      </c>
      <c r="X613" s="886">
        <f t="shared" si="166"/>
        <v>0</v>
      </c>
      <c r="Y613" s="886"/>
    </row>
    <row r="614" spans="1:25" s="512" customFormat="1" ht="32.1" customHeight="1">
      <c r="A614" s="954"/>
      <c r="B614" s="902" t="s">
        <v>1520</v>
      </c>
      <c r="C614" s="880"/>
      <c r="D614" s="870" t="s">
        <v>825</v>
      </c>
      <c r="E614" s="898">
        <v>7004686</v>
      </c>
      <c r="F614" s="886"/>
      <c r="G614" s="886">
        <v>1152208000</v>
      </c>
      <c r="H614" s="886">
        <v>230000000</v>
      </c>
      <c r="I614" s="886"/>
      <c r="J614" s="886">
        <f>210000000+20000000</f>
        <v>230000000</v>
      </c>
      <c r="K614" s="886"/>
      <c r="L614" s="886"/>
      <c r="M614" s="886"/>
      <c r="N614" s="886"/>
      <c r="O614" s="886"/>
      <c r="P614" s="886"/>
      <c r="Q614" s="886"/>
      <c r="R614" s="886"/>
      <c r="S614" s="886"/>
      <c r="T614" s="886"/>
      <c r="U614" s="886"/>
      <c r="V614" s="886"/>
      <c r="W614" s="886">
        <f t="shared" si="165"/>
        <v>230000000</v>
      </c>
      <c r="X614" s="886">
        <f t="shared" si="166"/>
        <v>0</v>
      </c>
      <c r="Y614" s="886"/>
    </row>
    <row r="615" spans="1:25" ht="15" customHeight="1">
      <c r="A615" s="953">
        <v>2</v>
      </c>
      <c r="B615" s="909" t="s">
        <v>35</v>
      </c>
      <c r="C615" s="876"/>
      <c r="D615" s="870" t="s">
        <v>825</v>
      </c>
      <c r="E615" s="863">
        <v>7004692</v>
      </c>
      <c r="F615" s="862"/>
      <c r="G615" s="862"/>
      <c r="H615" s="862">
        <v>218700000</v>
      </c>
      <c r="I615" s="862"/>
      <c r="J615" s="862">
        <v>218700000</v>
      </c>
      <c r="K615" s="862"/>
      <c r="L615" s="862"/>
      <c r="M615" s="862"/>
      <c r="N615" s="862"/>
      <c r="O615" s="862"/>
      <c r="P615" s="862"/>
      <c r="Q615" s="862"/>
      <c r="R615" s="862"/>
      <c r="S615" s="862"/>
      <c r="T615" s="862"/>
      <c r="U615" s="862"/>
      <c r="V615" s="862"/>
      <c r="W615" s="862">
        <f>J615+M615+S615</f>
        <v>218700000</v>
      </c>
      <c r="X615" s="862">
        <f t="shared" si="166"/>
        <v>0</v>
      </c>
      <c r="Y615" s="862">
        <f t="shared" si="167"/>
        <v>0</v>
      </c>
    </row>
    <row r="616" spans="1:25" ht="15" customHeight="1">
      <c r="A616" s="953">
        <v>3</v>
      </c>
      <c r="B616" s="899" t="s">
        <v>560</v>
      </c>
      <c r="C616" s="876"/>
      <c r="D616" s="870" t="s">
        <v>825</v>
      </c>
      <c r="E616" s="961">
        <v>7006754</v>
      </c>
      <c r="F616" s="862"/>
      <c r="G616" s="862">
        <v>39566750000</v>
      </c>
      <c r="H616" s="862">
        <v>78149000</v>
      </c>
      <c r="I616" s="862"/>
      <c r="J616" s="862"/>
      <c r="K616" s="862"/>
      <c r="L616" s="862"/>
      <c r="M616" s="862"/>
      <c r="N616" s="862"/>
      <c r="O616" s="862"/>
      <c r="P616" s="862"/>
      <c r="Q616" s="862"/>
      <c r="R616" s="862"/>
      <c r="S616" s="862"/>
      <c r="T616" s="862"/>
      <c r="U616" s="862"/>
      <c r="V616" s="862"/>
      <c r="W616" s="862">
        <f t="shared" si="165"/>
        <v>0</v>
      </c>
      <c r="X616" s="862">
        <f t="shared" si="166"/>
        <v>78149000</v>
      </c>
      <c r="Y616" s="862">
        <f t="shared" si="167"/>
        <v>39566750000</v>
      </c>
    </row>
    <row r="617" spans="1:25" ht="42" customHeight="1">
      <c r="A617" s="953">
        <v>4</v>
      </c>
      <c r="B617" s="899" t="s">
        <v>530</v>
      </c>
      <c r="C617" s="876"/>
      <c r="D617" s="870" t="s">
        <v>825</v>
      </c>
      <c r="E617" s="863">
        <v>7148575</v>
      </c>
      <c r="F617" s="862"/>
      <c r="G617" s="862">
        <v>118042309145</v>
      </c>
      <c r="H617" s="862">
        <v>716306976</v>
      </c>
      <c r="I617" s="862"/>
      <c r="J617" s="862">
        <f>568659156+74200500</f>
        <v>642859656</v>
      </c>
      <c r="K617" s="862"/>
      <c r="L617" s="862"/>
      <c r="M617" s="862"/>
      <c r="N617" s="862"/>
      <c r="O617" s="862"/>
      <c r="P617" s="862"/>
      <c r="Q617" s="862"/>
      <c r="R617" s="862"/>
      <c r="S617" s="862"/>
      <c r="T617" s="862"/>
      <c r="U617" s="862"/>
      <c r="V617" s="862"/>
      <c r="W617" s="862">
        <f t="shared" si="165"/>
        <v>642859656</v>
      </c>
      <c r="X617" s="862">
        <f t="shared" si="166"/>
        <v>73447320</v>
      </c>
      <c r="Y617" s="862">
        <f t="shared" si="167"/>
        <v>118042309145</v>
      </c>
    </row>
    <row r="618" spans="1:25" ht="24.95" customHeight="1">
      <c r="A618" s="953">
        <v>5</v>
      </c>
      <c r="B618" s="865" t="s">
        <v>1160</v>
      </c>
      <c r="C618" s="876"/>
      <c r="D618" s="870" t="s">
        <v>825</v>
      </c>
      <c r="E618" s="863">
        <v>7199192</v>
      </c>
      <c r="F618" s="862"/>
      <c r="G618" s="862">
        <v>41793652356</v>
      </c>
      <c r="H618" s="862">
        <v>5964347644</v>
      </c>
      <c r="I618" s="862"/>
      <c r="J618" s="862">
        <v>1337604956</v>
      </c>
      <c r="K618" s="862"/>
      <c r="L618" s="862"/>
      <c r="M618" s="862"/>
      <c r="N618" s="862"/>
      <c r="O618" s="862"/>
      <c r="P618" s="862"/>
      <c r="Q618" s="862"/>
      <c r="R618" s="862"/>
      <c r="S618" s="862"/>
      <c r="T618" s="862"/>
      <c r="U618" s="862"/>
      <c r="V618" s="862"/>
      <c r="W618" s="862">
        <f t="shared" si="165"/>
        <v>1337604956</v>
      </c>
      <c r="X618" s="862">
        <f t="shared" si="166"/>
        <v>4626742688</v>
      </c>
      <c r="Y618" s="862">
        <f t="shared" si="167"/>
        <v>41793652356</v>
      </c>
    </row>
    <row r="619" spans="1:25" ht="32.1" customHeight="1">
      <c r="A619" s="953">
        <v>6</v>
      </c>
      <c r="B619" s="960" t="s">
        <v>542</v>
      </c>
      <c r="C619" s="876"/>
      <c r="D619" s="870" t="s">
        <v>825</v>
      </c>
      <c r="E619" s="870" t="s">
        <v>526</v>
      </c>
      <c r="F619" s="862"/>
      <c r="G619" s="862">
        <v>18483423000</v>
      </c>
      <c r="H619" s="862">
        <v>337948000</v>
      </c>
      <c r="I619" s="862"/>
      <c r="J619" s="862">
        <v>168050000</v>
      </c>
      <c r="K619" s="862"/>
      <c r="L619" s="862"/>
      <c r="M619" s="862"/>
      <c r="N619" s="862"/>
      <c r="O619" s="862"/>
      <c r="P619" s="862"/>
      <c r="Q619" s="862"/>
      <c r="R619" s="862"/>
      <c r="S619" s="862"/>
      <c r="T619" s="862"/>
      <c r="U619" s="862"/>
      <c r="V619" s="862"/>
      <c r="W619" s="862">
        <f t="shared" si="165"/>
        <v>168050000</v>
      </c>
      <c r="X619" s="862">
        <f t="shared" si="166"/>
        <v>169898000</v>
      </c>
      <c r="Y619" s="862">
        <f t="shared" si="167"/>
        <v>18483423000</v>
      </c>
    </row>
    <row r="620" spans="1:25" ht="24.95" customHeight="1">
      <c r="A620" s="953">
        <v>7</v>
      </c>
      <c r="B620" s="899" t="s">
        <v>27</v>
      </c>
      <c r="C620" s="876"/>
      <c r="D620" s="870" t="s">
        <v>825</v>
      </c>
      <c r="E620" s="870" t="s">
        <v>28</v>
      </c>
      <c r="F620" s="862"/>
      <c r="G620" s="862">
        <v>25262123000</v>
      </c>
      <c r="H620" s="862">
        <v>423750000</v>
      </c>
      <c r="I620" s="862"/>
      <c r="J620" s="862">
        <v>423750000</v>
      </c>
      <c r="K620" s="862"/>
      <c r="L620" s="862"/>
      <c r="M620" s="862"/>
      <c r="N620" s="862"/>
      <c r="O620" s="862"/>
      <c r="P620" s="862"/>
      <c r="Q620" s="862"/>
      <c r="R620" s="862"/>
      <c r="S620" s="862"/>
      <c r="T620" s="862"/>
      <c r="U620" s="862"/>
      <c r="V620" s="862"/>
      <c r="W620" s="862">
        <f t="shared" si="165"/>
        <v>423750000</v>
      </c>
      <c r="X620" s="862">
        <f t="shared" si="166"/>
        <v>0</v>
      </c>
      <c r="Y620" s="862">
        <f t="shared" si="167"/>
        <v>25262123000</v>
      </c>
    </row>
    <row r="621" spans="1:25" ht="24.95" customHeight="1">
      <c r="A621" s="953">
        <v>8</v>
      </c>
      <c r="B621" s="899" t="s">
        <v>8</v>
      </c>
      <c r="C621" s="876"/>
      <c r="D621" s="870" t="s">
        <v>825</v>
      </c>
      <c r="E621" s="870" t="s">
        <v>9</v>
      </c>
      <c r="F621" s="862"/>
      <c r="G621" s="862">
        <v>29119733040</v>
      </c>
      <c r="H621" s="862">
        <v>277299198</v>
      </c>
      <c r="I621" s="862">
        <v>17261329</v>
      </c>
      <c r="J621" s="862">
        <v>260037869</v>
      </c>
      <c r="K621" s="862"/>
      <c r="L621" s="862"/>
      <c r="M621" s="862"/>
      <c r="N621" s="862"/>
      <c r="O621" s="862"/>
      <c r="P621" s="862"/>
      <c r="Q621" s="862"/>
      <c r="R621" s="862"/>
      <c r="S621" s="862"/>
      <c r="T621" s="862"/>
      <c r="U621" s="862"/>
      <c r="V621" s="862"/>
      <c r="W621" s="862">
        <f t="shared" si="165"/>
        <v>260037869</v>
      </c>
      <c r="X621" s="862">
        <f t="shared" si="166"/>
        <v>0</v>
      </c>
      <c r="Y621" s="862">
        <f t="shared" si="167"/>
        <v>29119733040</v>
      </c>
    </row>
    <row r="622" spans="1:25" ht="24.95" customHeight="1">
      <c r="A622" s="953">
        <v>9</v>
      </c>
      <c r="B622" s="899" t="s">
        <v>1207</v>
      </c>
      <c r="C622" s="876"/>
      <c r="D622" s="870" t="s">
        <v>825</v>
      </c>
      <c r="E622" s="870" t="s">
        <v>549</v>
      </c>
      <c r="F622" s="862"/>
      <c r="G622" s="862">
        <v>13941801000</v>
      </c>
      <c r="H622" s="862">
        <v>27554000</v>
      </c>
      <c r="I622" s="862"/>
      <c r="J622" s="862">
        <v>27554000</v>
      </c>
      <c r="K622" s="862"/>
      <c r="L622" s="862"/>
      <c r="M622" s="862"/>
      <c r="N622" s="862"/>
      <c r="O622" s="862"/>
      <c r="P622" s="862"/>
      <c r="Q622" s="862"/>
      <c r="R622" s="862"/>
      <c r="S622" s="862"/>
      <c r="T622" s="862"/>
      <c r="U622" s="862"/>
      <c r="V622" s="862"/>
      <c r="W622" s="862">
        <f t="shared" si="165"/>
        <v>27554000</v>
      </c>
      <c r="X622" s="862">
        <f t="shared" si="166"/>
        <v>0</v>
      </c>
      <c r="Y622" s="862">
        <f t="shared" si="167"/>
        <v>13941801000</v>
      </c>
    </row>
    <row r="623" spans="1:25" ht="42" customHeight="1">
      <c r="A623" s="953">
        <v>10</v>
      </c>
      <c r="B623" s="909" t="s">
        <v>1208</v>
      </c>
      <c r="C623" s="876"/>
      <c r="D623" s="870" t="s">
        <v>825</v>
      </c>
      <c r="E623" s="870" t="s">
        <v>537</v>
      </c>
      <c r="F623" s="862"/>
      <c r="G623" s="862">
        <v>21941392981</v>
      </c>
      <c r="H623" s="862">
        <v>374709000</v>
      </c>
      <c r="I623" s="862"/>
      <c r="J623" s="862">
        <v>374709000</v>
      </c>
      <c r="K623" s="862"/>
      <c r="L623" s="862"/>
      <c r="M623" s="862"/>
      <c r="N623" s="862"/>
      <c r="O623" s="862"/>
      <c r="P623" s="862"/>
      <c r="Q623" s="862"/>
      <c r="R623" s="862"/>
      <c r="S623" s="862"/>
      <c r="T623" s="862"/>
      <c r="U623" s="862"/>
      <c r="V623" s="862"/>
      <c r="W623" s="862">
        <f t="shared" si="165"/>
        <v>374709000</v>
      </c>
      <c r="X623" s="862">
        <f t="shared" si="166"/>
        <v>0</v>
      </c>
      <c r="Y623" s="862">
        <f t="shared" si="167"/>
        <v>21941392981</v>
      </c>
    </row>
    <row r="624" spans="1:25" s="980" customFormat="1" ht="42" customHeight="1">
      <c r="A624" s="975">
        <v>11</v>
      </c>
      <c r="B624" s="976" t="s">
        <v>1209</v>
      </c>
      <c r="C624" s="977"/>
      <c r="D624" s="978" t="s">
        <v>825</v>
      </c>
      <c r="E624" s="978" t="s">
        <v>548</v>
      </c>
      <c r="F624" s="979"/>
      <c r="G624" s="979">
        <v>4042809000</v>
      </c>
      <c r="H624" s="979">
        <v>90244000</v>
      </c>
      <c r="I624" s="979"/>
      <c r="J624" s="979"/>
      <c r="K624" s="979"/>
      <c r="L624" s="979"/>
      <c r="M624" s="979"/>
      <c r="N624" s="979"/>
      <c r="O624" s="979"/>
      <c r="P624" s="979"/>
      <c r="Q624" s="979"/>
      <c r="R624" s="979"/>
      <c r="S624" s="979"/>
      <c r="T624" s="979"/>
      <c r="U624" s="979"/>
      <c r="V624" s="979"/>
      <c r="W624" s="979">
        <f t="shared" si="165"/>
        <v>0</v>
      </c>
      <c r="X624" s="979">
        <f t="shared" si="166"/>
        <v>90244000</v>
      </c>
      <c r="Y624" s="979">
        <f t="shared" si="167"/>
        <v>4042809000</v>
      </c>
    </row>
    <row r="625" spans="1:25" ht="42" customHeight="1">
      <c r="A625" s="953">
        <v>12</v>
      </c>
      <c r="B625" s="960" t="s">
        <v>545</v>
      </c>
      <c r="C625" s="876"/>
      <c r="D625" s="870" t="s">
        <v>825</v>
      </c>
      <c r="E625" s="870" t="s">
        <v>546</v>
      </c>
      <c r="F625" s="862"/>
      <c r="G625" s="862">
        <v>4228472000</v>
      </c>
      <c r="H625" s="862">
        <v>3239000000</v>
      </c>
      <c r="I625" s="862"/>
      <c r="J625" s="862"/>
      <c r="K625" s="862"/>
      <c r="L625" s="862"/>
      <c r="M625" s="862"/>
      <c r="N625" s="862"/>
      <c r="O625" s="862"/>
      <c r="P625" s="862"/>
      <c r="Q625" s="862"/>
      <c r="R625" s="862"/>
      <c r="S625" s="862"/>
      <c r="T625" s="862"/>
      <c r="U625" s="862"/>
      <c r="V625" s="862"/>
      <c r="W625" s="862">
        <f t="shared" si="165"/>
        <v>0</v>
      </c>
      <c r="X625" s="862">
        <f t="shared" si="166"/>
        <v>3239000000</v>
      </c>
      <c r="Y625" s="862">
        <f t="shared" si="167"/>
        <v>4228472000</v>
      </c>
    </row>
    <row r="626" spans="1:25" ht="24.95" customHeight="1">
      <c r="A626" s="953">
        <v>13</v>
      </c>
      <c r="B626" s="899" t="s">
        <v>870</v>
      </c>
      <c r="C626" s="876"/>
      <c r="D626" s="870" t="s">
        <v>825</v>
      </c>
      <c r="E626" s="870" t="s">
        <v>553</v>
      </c>
      <c r="F626" s="862"/>
      <c r="G626" s="862">
        <v>5476878000</v>
      </c>
      <c r="H626" s="862">
        <v>150000000</v>
      </c>
      <c r="I626" s="862"/>
      <c r="J626" s="862">
        <v>150000000</v>
      </c>
      <c r="K626" s="862"/>
      <c r="L626" s="862"/>
      <c r="M626" s="862"/>
      <c r="N626" s="862"/>
      <c r="O626" s="862"/>
      <c r="P626" s="862"/>
      <c r="Q626" s="862"/>
      <c r="R626" s="862"/>
      <c r="S626" s="862"/>
      <c r="T626" s="862"/>
      <c r="U626" s="862"/>
      <c r="V626" s="862"/>
      <c r="W626" s="862">
        <f t="shared" si="165"/>
        <v>150000000</v>
      </c>
      <c r="X626" s="862">
        <f t="shared" si="166"/>
        <v>0</v>
      </c>
      <c r="Y626" s="862">
        <f t="shared" si="167"/>
        <v>5476878000</v>
      </c>
    </row>
    <row r="627" spans="1:25" ht="24.95" customHeight="1">
      <c r="A627" s="953">
        <v>14</v>
      </c>
      <c r="B627" s="899" t="s">
        <v>551</v>
      </c>
      <c r="C627" s="876"/>
      <c r="D627" s="870" t="s">
        <v>825</v>
      </c>
      <c r="E627" s="870" t="s">
        <v>552</v>
      </c>
      <c r="F627" s="862"/>
      <c r="G627" s="862">
        <v>1818860000</v>
      </c>
      <c r="H627" s="862">
        <v>50000000</v>
      </c>
      <c r="I627" s="862"/>
      <c r="J627" s="862">
        <v>50000000</v>
      </c>
      <c r="K627" s="862"/>
      <c r="L627" s="862"/>
      <c r="M627" s="862"/>
      <c r="N627" s="862"/>
      <c r="O627" s="862"/>
      <c r="P627" s="862"/>
      <c r="Q627" s="862"/>
      <c r="R627" s="862"/>
      <c r="S627" s="862"/>
      <c r="T627" s="862"/>
      <c r="U627" s="862"/>
      <c r="V627" s="862"/>
      <c r="W627" s="862">
        <f t="shared" si="165"/>
        <v>50000000</v>
      </c>
      <c r="X627" s="862">
        <f t="shared" si="166"/>
        <v>0</v>
      </c>
      <c r="Y627" s="862">
        <f t="shared" si="167"/>
        <v>1818860000</v>
      </c>
    </row>
    <row r="628" spans="1:25" ht="24.95" customHeight="1">
      <c r="A628" s="953">
        <v>15</v>
      </c>
      <c r="B628" s="909" t="s">
        <v>1210</v>
      </c>
      <c r="C628" s="876"/>
      <c r="D628" s="870" t="s">
        <v>825</v>
      </c>
      <c r="E628" s="870" t="s">
        <v>541</v>
      </c>
      <c r="F628" s="862"/>
      <c r="G628" s="862">
        <v>2384000000</v>
      </c>
      <c r="H628" s="862">
        <v>2007266000</v>
      </c>
      <c r="I628" s="862"/>
      <c r="J628" s="862">
        <v>1266250000</v>
      </c>
      <c r="K628" s="862"/>
      <c r="L628" s="862"/>
      <c r="M628" s="862"/>
      <c r="N628" s="862"/>
      <c r="O628" s="862"/>
      <c r="P628" s="862"/>
      <c r="Q628" s="862"/>
      <c r="R628" s="862"/>
      <c r="S628" s="862"/>
      <c r="T628" s="862"/>
      <c r="U628" s="862"/>
      <c r="V628" s="862"/>
      <c r="W628" s="862">
        <f t="shared" si="165"/>
        <v>1266250000</v>
      </c>
      <c r="X628" s="862">
        <f t="shared" si="166"/>
        <v>741016000</v>
      </c>
      <c r="Y628" s="862">
        <f t="shared" si="167"/>
        <v>2384000000</v>
      </c>
    </row>
    <row r="629" spans="1:25" ht="32.1" customHeight="1">
      <c r="A629" s="953">
        <v>16</v>
      </c>
      <c r="B629" s="899" t="s">
        <v>556</v>
      </c>
      <c r="C629" s="876"/>
      <c r="D629" s="870" t="s">
        <v>825</v>
      </c>
      <c r="E629" s="870" t="s">
        <v>557</v>
      </c>
      <c r="F629" s="862"/>
      <c r="G629" s="862">
        <v>2000000000</v>
      </c>
      <c r="H629" s="862">
        <v>819000000</v>
      </c>
      <c r="I629" s="862"/>
      <c r="J629" s="862">
        <v>819000000</v>
      </c>
      <c r="K629" s="862"/>
      <c r="L629" s="862"/>
      <c r="M629" s="862"/>
      <c r="N629" s="862"/>
      <c r="O629" s="862"/>
      <c r="P629" s="862"/>
      <c r="Q629" s="862"/>
      <c r="R629" s="862"/>
      <c r="S629" s="862"/>
      <c r="T629" s="862"/>
      <c r="U629" s="862"/>
      <c r="V629" s="862"/>
      <c r="W629" s="862">
        <f t="shared" si="165"/>
        <v>819000000</v>
      </c>
      <c r="X629" s="862">
        <f t="shared" si="166"/>
        <v>0</v>
      </c>
      <c r="Y629" s="862">
        <f t="shared" si="167"/>
        <v>2000000000</v>
      </c>
    </row>
    <row r="630" spans="1:25" ht="42" customHeight="1">
      <c r="A630" s="953">
        <v>17</v>
      </c>
      <c r="B630" s="899" t="s">
        <v>535</v>
      </c>
      <c r="C630" s="876"/>
      <c r="D630" s="870" t="s">
        <v>825</v>
      </c>
      <c r="E630" s="870" t="s">
        <v>536</v>
      </c>
      <c r="F630" s="862"/>
      <c r="G630" s="862">
        <v>1999888000</v>
      </c>
      <c r="H630" s="862">
        <v>31497000</v>
      </c>
      <c r="I630" s="862"/>
      <c r="J630" s="862">
        <v>31497000</v>
      </c>
      <c r="K630" s="862"/>
      <c r="L630" s="862"/>
      <c r="M630" s="862"/>
      <c r="N630" s="862"/>
      <c r="O630" s="862"/>
      <c r="P630" s="862"/>
      <c r="Q630" s="862"/>
      <c r="R630" s="862"/>
      <c r="S630" s="862"/>
      <c r="T630" s="862"/>
      <c r="U630" s="862"/>
      <c r="V630" s="862"/>
      <c r="W630" s="862">
        <f t="shared" si="165"/>
        <v>31497000</v>
      </c>
      <c r="X630" s="862">
        <f t="shared" si="166"/>
        <v>0</v>
      </c>
      <c r="Y630" s="862">
        <f t="shared" si="167"/>
        <v>1999888000</v>
      </c>
    </row>
    <row r="631" spans="1:25" ht="24.95" customHeight="1">
      <c r="A631" s="953">
        <v>18</v>
      </c>
      <c r="B631" s="909" t="s">
        <v>1211</v>
      </c>
      <c r="C631" s="876"/>
      <c r="D631" s="870" t="s">
        <v>825</v>
      </c>
      <c r="E631" s="870" t="s">
        <v>540</v>
      </c>
      <c r="F631" s="862"/>
      <c r="G631" s="862">
        <v>1999975000</v>
      </c>
      <c r="H631" s="862">
        <v>444000000</v>
      </c>
      <c r="I631" s="862"/>
      <c r="J631" s="862">
        <v>444000000</v>
      </c>
      <c r="K631" s="862"/>
      <c r="L631" s="862"/>
      <c r="M631" s="862"/>
      <c r="N631" s="862"/>
      <c r="O631" s="862"/>
      <c r="P631" s="862"/>
      <c r="Q631" s="862"/>
      <c r="R631" s="862"/>
      <c r="S631" s="862"/>
      <c r="T631" s="862"/>
      <c r="U631" s="862"/>
      <c r="V631" s="862"/>
      <c r="W631" s="862">
        <f t="shared" si="165"/>
        <v>444000000</v>
      </c>
      <c r="X631" s="862">
        <f t="shared" si="166"/>
        <v>0</v>
      </c>
      <c r="Y631" s="862">
        <f t="shared" si="167"/>
        <v>1999975000</v>
      </c>
    </row>
    <row r="632" spans="1:25" ht="24.95" customHeight="1">
      <c r="A632" s="951" t="s">
        <v>402</v>
      </c>
      <c r="B632" s="915" t="s">
        <v>1212</v>
      </c>
      <c r="C632" s="876"/>
      <c r="D632" s="870"/>
      <c r="E632" s="872"/>
      <c r="F632" s="884">
        <f>SUM(F633:F638)</f>
        <v>0</v>
      </c>
      <c r="G632" s="884">
        <f>SUM(G633:G638)</f>
        <v>27075803608</v>
      </c>
      <c r="H632" s="884">
        <f t="shared" ref="H632:Y632" si="168">SUM(H633:H638)</f>
        <v>913727421</v>
      </c>
      <c r="I632" s="884">
        <f t="shared" si="168"/>
        <v>0</v>
      </c>
      <c r="J632" s="884">
        <f t="shared" si="168"/>
        <v>0</v>
      </c>
      <c r="K632" s="884">
        <f t="shared" si="168"/>
        <v>0</v>
      </c>
      <c r="L632" s="884">
        <f t="shared" si="168"/>
        <v>0</v>
      </c>
      <c r="M632" s="884">
        <f t="shared" si="168"/>
        <v>0</v>
      </c>
      <c r="N632" s="884">
        <f t="shared" si="168"/>
        <v>0</v>
      </c>
      <c r="O632" s="884">
        <f t="shared" si="168"/>
        <v>0</v>
      </c>
      <c r="P632" s="884">
        <f t="shared" si="168"/>
        <v>0</v>
      </c>
      <c r="Q632" s="884">
        <f t="shared" si="168"/>
        <v>0</v>
      </c>
      <c r="R632" s="884">
        <f t="shared" si="168"/>
        <v>0</v>
      </c>
      <c r="S632" s="884">
        <f t="shared" si="168"/>
        <v>0</v>
      </c>
      <c r="T632" s="884">
        <f t="shared" si="168"/>
        <v>0</v>
      </c>
      <c r="U632" s="884">
        <f t="shared" si="168"/>
        <v>0</v>
      </c>
      <c r="V632" s="884">
        <f t="shared" si="168"/>
        <v>0</v>
      </c>
      <c r="W632" s="884">
        <f t="shared" si="168"/>
        <v>0</v>
      </c>
      <c r="X632" s="884">
        <f t="shared" si="168"/>
        <v>913727421</v>
      </c>
      <c r="Y632" s="884">
        <f t="shared" si="168"/>
        <v>27075803608</v>
      </c>
    </row>
    <row r="633" spans="1:25" ht="32.1" customHeight="1">
      <c r="A633" s="953">
        <v>1</v>
      </c>
      <c r="B633" s="865" t="s">
        <v>1507</v>
      </c>
      <c r="C633" s="876"/>
      <c r="D633" s="870" t="s">
        <v>825</v>
      </c>
      <c r="E633" s="953">
        <v>7011119</v>
      </c>
      <c r="F633" s="862"/>
      <c r="G633" s="862">
        <v>10602000</v>
      </c>
      <c r="H633" s="862">
        <v>10602000</v>
      </c>
      <c r="I633" s="862"/>
      <c r="J633" s="862"/>
      <c r="K633" s="862"/>
      <c r="L633" s="862"/>
      <c r="M633" s="862"/>
      <c r="N633" s="862"/>
      <c r="O633" s="862"/>
      <c r="P633" s="862"/>
      <c r="Q633" s="862"/>
      <c r="R633" s="862"/>
      <c r="S633" s="862"/>
      <c r="T633" s="862"/>
      <c r="U633" s="862"/>
      <c r="V633" s="862"/>
      <c r="W633" s="862">
        <f t="shared" si="156"/>
        <v>0</v>
      </c>
      <c r="X633" s="862">
        <f t="shared" si="157"/>
        <v>10602000</v>
      </c>
      <c r="Y633" s="862">
        <f t="shared" si="158"/>
        <v>10602000</v>
      </c>
    </row>
    <row r="634" spans="1:25" ht="24.95" customHeight="1">
      <c r="A634" s="953">
        <v>2</v>
      </c>
      <c r="B634" s="865" t="s">
        <v>1506</v>
      </c>
      <c r="C634" s="876"/>
      <c r="D634" s="870" t="s">
        <v>825</v>
      </c>
      <c r="E634" s="953">
        <v>7027195</v>
      </c>
      <c r="F634" s="862"/>
      <c r="G634" s="862">
        <v>1451639000</v>
      </c>
      <c r="H634" s="862">
        <v>151130000</v>
      </c>
      <c r="I634" s="862"/>
      <c r="J634" s="862"/>
      <c r="K634" s="862"/>
      <c r="L634" s="862"/>
      <c r="M634" s="862"/>
      <c r="N634" s="862"/>
      <c r="O634" s="862"/>
      <c r="P634" s="862"/>
      <c r="Q634" s="862"/>
      <c r="R634" s="862"/>
      <c r="S634" s="862"/>
      <c r="T634" s="862"/>
      <c r="U634" s="862"/>
      <c r="V634" s="862"/>
      <c r="W634" s="862">
        <f t="shared" si="156"/>
        <v>0</v>
      </c>
      <c r="X634" s="862">
        <f t="shared" si="157"/>
        <v>151130000</v>
      </c>
      <c r="Y634" s="862">
        <f t="shared" si="158"/>
        <v>1451639000</v>
      </c>
    </row>
    <row r="635" spans="1:25" ht="24.95" customHeight="1">
      <c r="A635" s="953">
        <v>3</v>
      </c>
      <c r="B635" s="865" t="s">
        <v>1504</v>
      </c>
      <c r="C635" s="876"/>
      <c r="D635" s="870" t="s">
        <v>825</v>
      </c>
      <c r="E635" s="953">
        <v>7159667</v>
      </c>
      <c r="F635" s="862"/>
      <c r="G635" s="862">
        <v>16809587563</v>
      </c>
      <c r="H635" s="862">
        <v>22376</v>
      </c>
      <c r="I635" s="862"/>
      <c r="J635" s="862"/>
      <c r="K635" s="862"/>
      <c r="L635" s="862"/>
      <c r="M635" s="862"/>
      <c r="N635" s="862"/>
      <c r="O635" s="862"/>
      <c r="P635" s="862"/>
      <c r="Q635" s="862"/>
      <c r="R635" s="862"/>
      <c r="S635" s="862"/>
      <c r="T635" s="862"/>
      <c r="U635" s="862"/>
      <c r="V635" s="862"/>
      <c r="W635" s="862">
        <f t="shared" si="156"/>
        <v>0</v>
      </c>
      <c r="X635" s="862">
        <f t="shared" si="157"/>
        <v>22376</v>
      </c>
      <c r="Y635" s="862">
        <f t="shared" si="158"/>
        <v>16809587563</v>
      </c>
    </row>
    <row r="636" spans="1:25" ht="24.95" customHeight="1">
      <c r="A636" s="953">
        <v>4</v>
      </c>
      <c r="B636" s="865" t="s">
        <v>1505</v>
      </c>
      <c r="C636" s="876"/>
      <c r="D636" s="870" t="s">
        <v>825</v>
      </c>
      <c r="E636" s="953">
        <v>7254349</v>
      </c>
      <c r="F636" s="862"/>
      <c r="G636" s="862">
        <v>1305021000</v>
      </c>
      <c r="H636" s="862">
        <v>44000000</v>
      </c>
      <c r="I636" s="862"/>
      <c r="J636" s="862"/>
      <c r="K636" s="862"/>
      <c r="L636" s="862"/>
      <c r="M636" s="862"/>
      <c r="N636" s="862"/>
      <c r="O636" s="862"/>
      <c r="P636" s="862"/>
      <c r="Q636" s="862"/>
      <c r="R636" s="862"/>
      <c r="S636" s="862"/>
      <c r="T636" s="862"/>
      <c r="U636" s="862"/>
      <c r="V636" s="862"/>
      <c r="W636" s="862">
        <f t="shared" si="156"/>
        <v>0</v>
      </c>
      <c r="X636" s="862">
        <f t="shared" si="157"/>
        <v>44000000</v>
      </c>
      <c r="Y636" s="862">
        <f t="shared" si="158"/>
        <v>1305021000</v>
      </c>
    </row>
    <row r="637" spans="1:25" ht="32.1" customHeight="1">
      <c r="A637" s="953">
        <v>5</v>
      </c>
      <c r="B637" s="865" t="s">
        <v>1503</v>
      </c>
      <c r="C637" s="876"/>
      <c r="D637" s="870" t="s">
        <v>825</v>
      </c>
      <c r="E637" s="953">
        <v>7268653</v>
      </c>
      <c r="F637" s="862"/>
      <c r="G637" s="862">
        <v>3841224000</v>
      </c>
      <c r="H637" s="862">
        <v>634607000</v>
      </c>
      <c r="I637" s="862"/>
      <c r="J637" s="862"/>
      <c r="K637" s="862"/>
      <c r="L637" s="862"/>
      <c r="M637" s="862"/>
      <c r="N637" s="862"/>
      <c r="O637" s="862"/>
      <c r="P637" s="862"/>
      <c r="Q637" s="862"/>
      <c r="R637" s="862"/>
      <c r="S637" s="862"/>
      <c r="T637" s="862"/>
      <c r="U637" s="862"/>
      <c r="V637" s="862"/>
      <c r="W637" s="862">
        <f t="shared" si="156"/>
        <v>0</v>
      </c>
      <c r="X637" s="862">
        <f t="shared" si="157"/>
        <v>634607000</v>
      </c>
      <c r="Y637" s="862">
        <f t="shared" si="158"/>
        <v>3841224000</v>
      </c>
    </row>
    <row r="638" spans="1:25" ht="32.1" customHeight="1">
      <c r="A638" s="953">
        <v>6</v>
      </c>
      <c r="B638" s="865" t="s">
        <v>1502</v>
      </c>
      <c r="C638" s="876"/>
      <c r="D638" s="870" t="s">
        <v>825</v>
      </c>
      <c r="E638" s="870" t="s">
        <v>646</v>
      </c>
      <c r="F638" s="862"/>
      <c r="G638" s="862">
        <v>3657730045</v>
      </c>
      <c r="H638" s="862">
        <v>73366045</v>
      </c>
      <c r="I638" s="862"/>
      <c r="J638" s="862"/>
      <c r="K638" s="862"/>
      <c r="L638" s="862"/>
      <c r="M638" s="862"/>
      <c r="N638" s="862"/>
      <c r="O638" s="862"/>
      <c r="P638" s="862"/>
      <c r="Q638" s="862"/>
      <c r="R638" s="862"/>
      <c r="S638" s="862"/>
      <c r="T638" s="862"/>
      <c r="U638" s="862"/>
      <c r="V638" s="862"/>
      <c r="W638" s="862">
        <f t="shared" si="156"/>
        <v>0</v>
      </c>
      <c r="X638" s="862">
        <f t="shared" si="157"/>
        <v>73366045</v>
      </c>
      <c r="Y638" s="862">
        <f t="shared" si="158"/>
        <v>3657730045</v>
      </c>
    </row>
    <row r="639" spans="1:25" ht="24.95" customHeight="1">
      <c r="A639" s="951" t="s">
        <v>404</v>
      </c>
      <c r="B639" s="915" t="s">
        <v>1213</v>
      </c>
      <c r="C639" s="876"/>
      <c r="D639" s="870"/>
      <c r="E639" s="872"/>
      <c r="F639" s="884">
        <f>SUM(F640:F642)</f>
        <v>0</v>
      </c>
      <c r="G639" s="884">
        <f>SUM(G640:G642)</f>
        <v>21559284000</v>
      </c>
      <c r="H639" s="884">
        <f t="shared" ref="H639:Y639" si="169">SUM(H640:H642)</f>
        <v>476019600</v>
      </c>
      <c r="I639" s="884">
        <f t="shared" si="169"/>
        <v>0</v>
      </c>
      <c r="J639" s="884">
        <f t="shared" si="169"/>
        <v>0</v>
      </c>
      <c r="K639" s="884">
        <f t="shared" si="169"/>
        <v>0</v>
      </c>
      <c r="L639" s="884">
        <f t="shared" si="169"/>
        <v>0</v>
      </c>
      <c r="M639" s="884">
        <f t="shared" si="169"/>
        <v>0</v>
      </c>
      <c r="N639" s="884">
        <f t="shared" si="169"/>
        <v>0</v>
      </c>
      <c r="O639" s="884">
        <f t="shared" si="169"/>
        <v>0</v>
      </c>
      <c r="P639" s="884">
        <f t="shared" si="169"/>
        <v>0</v>
      </c>
      <c r="Q639" s="884">
        <f t="shared" si="169"/>
        <v>0</v>
      </c>
      <c r="R639" s="884">
        <f t="shared" si="169"/>
        <v>0</v>
      </c>
      <c r="S639" s="884">
        <f t="shared" si="169"/>
        <v>0</v>
      </c>
      <c r="T639" s="884">
        <f t="shared" si="169"/>
        <v>0</v>
      </c>
      <c r="U639" s="884">
        <f t="shared" si="169"/>
        <v>0</v>
      </c>
      <c r="V639" s="884">
        <f t="shared" si="169"/>
        <v>0</v>
      </c>
      <c r="W639" s="884">
        <f t="shared" si="169"/>
        <v>0</v>
      </c>
      <c r="X639" s="884">
        <f t="shared" si="169"/>
        <v>476019600</v>
      </c>
      <c r="Y639" s="884">
        <f t="shared" si="169"/>
        <v>21559284000</v>
      </c>
    </row>
    <row r="640" spans="1:25" ht="24.95" customHeight="1">
      <c r="A640" s="953">
        <v>1</v>
      </c>
      <c r="B640" s="865" t="s">
        <v>1214</v>
      </c>
      <c r="C640" s="876"/>
      <c r="D640" s="870" t="s">
        <v>825</v>
      </c>
      <c r="E640" s="863">
        <v>7159802</v>
      </c>
      <c r="F640" s="862"/>
      <c r="G640" s="862">
        <v>3274761000</v>
      </c>
      <c r="H640" s="862">
        <v>72242000</v>
      </c>
      <c r="I640" s="862"/>
      <c r="J640" s="862"/>
      <c r="K640" s="862"/>
      <c r="L640" s="862"/>
      <c r="M640" s="862"/>
      <c r="N640" s="862"/>
      <c r="O640" s="862"/>
      <c r="P640" s="862"/>
      <c r="Q640" s="862"/>
      <c r="R640" s="862"/>
      <c r="S640" s="862"/>
      <c r="T640" s="862"/>
      <c r="U640" s="862"/>
      <c r="V640" s="862"/>
      <c r="W640" s="862">
        <f t="shared" ref="W640:W644" si="170">J640+M640+S640</f>
        <v>0</v>
      </c>
      <c r="X640" s="862">
        <f t="shared" ref="X640:X644" si="171">H640-I640-J640+N640+T640</f>
        <v>72242000</v>
      </c>
      <c r="Y640" s="862">
        <f t="shared" ref="Y640:Y644" si="172">G640+L640+R640</f>
        <v>3274761000</v>
      </c>
    </row>
    <row r="641" spans="1:25" ht="32.1" customHeight="1">
      <c r="A641" s="953">
        <v>2</v>
      </c>
      <c r="B641" s="899" t="s">
        <v>1501</v>
      </c>
      <c r="C641" s="876"/>
      <c r="D641" s="870" t="s">
        <v>825</v>
      </c>
      <c r="E641" s="958">
        <v>7027852</v>
      </c>
      <c r="F641" s="862"/>
      <c r="G641" s="862">
        <v>15604153000</v>
      </c>
      <c r="H641" s="862">
        <v>350251600</v>
      </c>
      <c r="I641" s="862"/>
      <c r="J641" s="862"/>
      <c r="K641" s="862"/>
      <c r="L641" s="862"/>
      <c r="M641" s="862"/>
      <c r="N641" s="862"/>
      <c r="O641" s="862"/>
      <c r="P641" s="862"/>
      <c r="Q641" s="862"/>
      <c r="R641" s="862"/>
      <c r="S641" s="862"/>
      <c r="T641" s="862"/>
      <c r="U641" s="862"/>
      <c r="V641" s="862"/>
      <c r="W641" s="862">
        <f t="shared" si="170"/>
        <v>0</v>
      </c>
      <c r="X641" s="862">
        <f t="shared" si="171"/>
        <v>350251600</v>
      </c>
      <c r="Y641" s="862">
        <f t="shared" si="172"/>
        <v>15604153000</v>
      </c>
    </row>
    <row r="642" spans="1:25" ht="32.1" customHeight="1">
      <c r="A642" s="953">
        <v>3</v>
      </c>
      <c r="B642" s="865" t="s">
        <v>1215</v>
      </c>
      <c r="C642" s="876"/>
      <c r="D642" s="870" t="s">
        <v>825</v>
      </c>
      <c r="E642" s="863">
        <v>7500055</v>
      </c>
      <c r="F642" s="862"/>
      <c r="G642" s="862">
        <v>2680370000</v>
      </c>
      <c r="H642" s="862">
        <v>53526000</v>
      </c>
      <c r="I642" s="862"/>
      <c r="J642" s="862"/>
      <c r="K642" s="862"/>
      <c r="L642" s="862"/>
      <c r="M642" s="862"/>
      <c r="N642" s="862"/>
      <c r="O642" s="862"/>
      <c r="P642" s="862"/>
      <c r="Q642" s="862"/>
      <c r="R642" s="862"/>
      <c r="S642" s="862"/>
      <c r="T642" s="862"/>
      <c r="U642" s="862"/>
      <c r="V642" s="862"/>
      <c r="W642" s="862">
        <f t="shared" si="170"/>
        <v>0</v>
      </c>
      <c r="X642" s="862">
        <f t="shared" si="171"/>
        <v>53526000</v>
      </c>
      <c r="Y642" s="862">
        <f t="shared" si="172"/>
        <v>2680370000</v>
      </c>
    </row>
    <row r="643" spans="1:25" ht="24.95" customHeight="1">
      <c r="A643" s="951" t="s">
        <v>406</v>
      </c>
      <c r="B643" s="915" t="s">
        <v>1216</v>
      </c>
      <c r="C643" s="876"/>
      <c r="D643" s="870"/>
      <c r="E643" s="872"/>
      <c r="F643" s="884">
        <f>F644</f>
        <v>0</v>
      </c>
      <c r="G643" s="884">
        <f t="shared" ref="G643:Y643" si="173">G644</f>
        <v>51797528068</v>
      </c>
      <c r="H643" s="884">
        <f t="shared" si="173"/>
        <v>26900000</v>
      </c>
      <c r="I643" s="884">
        <f t="shared" si="173"/>
        <v>0</v>
      </c>
      <c r="J643" s="884">
        <f t="shared" si="173"/>
        <v>0</v>
      </c>
      <c r="K643" s="884">
        <f t="shared" si="173"/>
        <v>0</v>
      </c>
      <c r="L643" s="884">
        <f t="shared" si="173"/>
        <v>0</v>
      </c>
      <c r="M643" s="884">
        <f t="shared" si="173"/>
        <v>0</v>
      </c>
      <c r="N643" s="884">
        <f t="shared" si="173"/>
        <v>0</v>
      </c>
      <c r="O643" s="884">
        <f t="shared" si="173"/>
        <v>0</v>
      </c>
      <c r="P643" s="884">
        <f t="shared" si="173"/>
        <v>0</v>
      </c>
      <c r="Q643" s="884">
        <f t="shared" si="173"/>
        <v>0</v>
      </c>
      <c r="R643" s="884">
        <f t="shared" si="173"/>
        <v>0</v>
      </c>
      <c r="S643" s="884">
        <f t="shared" si="173"/>
        <v>0</v>
      </c>
      <c r="T643" s="884">
        <f t="shared" si="173"/>
        <v>0</v>
      </c>
      <c r="U643" s="884">
        <f t="shared" si="173"/>
        <v>0</v>
      </c>
      <c r="V643" s="884">
        <f t="shared" si="173"/>
        <v>0</v>
      </c>
      <c r="W643" s="884">
        <f t="shared" si="173"/>
        <v>0</v>
      </c>
      <c r="X643" s="884">
        <f t="shared" si="173"/>
        <v>26900000</v>
      </c>
      <c r="Y643" s="884">
        <f t="shared" si="173"/>
        <v>51797528068</v>
      </c>
    </row>
    <row r="644" spans="1:25" ht="24.95" customHeight="1">
      <c r="A644" s="953">
        <v>1</v>
      </c>
      <c r="B644" s="865" t="s">
        <v>1217</v>
      </c>
      <c r="C644" s="876"/>
      <c r="D644" s="870" t="s">
        <v>825</v>
      </c>
      <c r="E644" s="863">
        <v>7362205</v>
      </c>
      <c r="F644" s="862"/>
      <c r="G644" s="862">
        <v>51797528068</v>
      </c>
      <c r="H644" s="862">
        <v>26900000</v>
      </c>
      <c r="I644" s="862"/>
      <c r="J644" s="862"/>
      <c r="K644" s="862"/>
      <c r="L644" s="862"/>
      <c r="M644" s="862"/>
      <c r="N644" s="862"/>
      <c r="O644" s="862"/>
      <c r="P644" s="862"/>
      <c r="Q644" s="862"/>
      <c r="R644" s="862"/>
      <c r="S644" s="862"/>
      <c r="T644" s="862"/>
      <c r="U644" s="862"/>
      <c r="V644" s="862"/>
      <c r="W644" s="862">
        <f t="shared" si="170"/>
        <v>0</v>
      </c>
      <c r="X644" s="862">
        <f t="shared" si="171"/>
        <v>26900000</v>
      </c>
      <c r="Y644" s="862">
        <f t="shared" si="172"/>
        <v>51797528068</v>
      </c>
    </row>
    <row r="645" spans="1:25" ht="15" customHeight="1">
      <c r="A645" s="951" t="s">
        <v>478</v>
      </c>
      <c r="B645" s="915" t="s">
        <v>1218</v>
      </c>
      <c r="C645" s="876"/>
      <c r="D645" s="870"/>
      <c r="E645" s="872"/>
      <c r="F645" s="884">
        <f>SUM(F646:F652)</f>
        <v>0</v>
      </c>
      <c r="G645" s="884">
        <f>SUM(G646:G652)</f>
        <v>279038700076</v>
      </c>
      <c r="H645" s="884">
        <f t="shared" ref="H645:Y645" si="174">SUM(H646:H652)</f>
        <v>11772970125</v>
      </c>
      <c r="I645" s="884">
        <f t="shared" si="174"/>
        <v>85828000</v>
      </c>
      <c r="J645" s="884">
        <f t="shared" si="174"/>
        <v>3650009448</v>
      </c>
      <c r="K645" s="884">
        <f t="shared" si="174"/>
        <v>0</v>
      </c>
      <c r="L645" s="884">
        <f t="shared" si="174"/>
        <v>0</v>
      </c>
      <c r="M645" s="884">
        <f t="shared" si="174"/>
        <v>0</v>
      </c>
      <c r="N645" s="884">
        <f t="shared" si="174"/>
        <v>0</v>
      </c>
      <c r="O645" s="884">
        <f t="shared" si="174"/>
        <v>0</v>
      </c>
      <c r="P645" s="884">
        <f t="shared" si="174"/>
        <v>0</v>
      </c>
      <c r="Q645" s="884">
        <f t="shared" si="174"/>
        <v>0</v>
      </c>
      <c r="R645" s="884">
        <f t="shared" si="174"/>
        <v>0</v>
      </c>
      <c r="S645" s="884">
        <f t="shared" si="174"/>
        <v>0</v>
      </c>
      <c r="T645" s="884">
        <f t="shared" si="174"/>
        <v>0</v>
      </c>
      <c r="U645" s="884">
        <f t="shared" si="174"/>
        <v>0</v>
      </c>
      <c r="V645" s="884">
        <f t="shared" si="174"/>
        <v>0</v>
      </c>
      <c r="W645" s="884">
        <f t="shared" si="174"/>
        <v>3650009448</v>
      </c>
      <c r="X645" s="884">
        <f t="shared" si="174"/>
        <v>8037132677</v>
      </c>
      <c r="Y645" s="884">
        <f t="shared" si="174"/>
        <v>279038700076</v>
      </c>
    </row>
    <row r="646" spans="1:25" ht="42" customHeight="1">
      <c r="A646" s="953">
        <v>1</v>
      </c>
      <c r="B646" s="962" t="s">
        <v>1219</v>
      </c>
      <c r="C646" s="876"/>
      <c r="D646" s="870" t="s">
        <v>825</v>
      </c>
      <c r="E646" s="963" t="s">
        <v>637</v>
      </c>
      <c r="F646" s="862"/>
      <c r="G646" s="862">
        <v>5801797000</v>
      </c>
      <c r="H646" s="862">
        <v>1347385000</v>
      </c>
      <c r="I646" s="862"/>
      <c r="J646" s="862">
        <v>1126938000</v>
      </c>
      <c r="K646" s="862"/>
      <c r="L646" s="862"/>
      <c r="M646" s="862"/>
      <c r="N646" s="862"/>
      <c r="O646" s="862"/>
      <c r="P646" s="862"/>
      <c r="Q646" s="862"/>
      <c r="R646" s="862"/>
      <c r="S646" s="862"/>
      <c r="T646" s="862"/>
      <c r="U646" s="862"/>
      <c r="V646" s="862"/>
      <c r="W646" s="862">
        <f>J646+M646+S646</f>
        <v>1126938000</v>
      </c>
      <c r="X646" s="862">
        <f>H646-I646-J646+N646+T646</f>
        <v>220447000</v>
      </c>
      <c r="Y646" s="862">
        <f>G646+L646+R646</f>
        <v>5801797000</v>
      </c>
    </row>
    <row r="647" spans="1:25" ht="24.95" customHeight="1">
      <c r="A647" s="953">
        <v>2</v>
      </c>
      <c r="B647" s="964" t="s">
        <v>1220</v>
      </c>
      <c r="C647" s="876"/>
      <c r="D647" s="870" t="s">
        <v>825</v>
      </c>
      <c r="E647" s="965" t="s">
        <v>587</v>
      </c>
      <c r="F647" s="862"/>
      <c r="G647" s="862">
        <v>161084551913</v>
      </c>
      <c r="H647" s="862">
        <v>419348550</v>
      </c>
      <c r="I647" s="862"/>
      <c r="J647" s="862">
        <v>413345420</v>
      </c>
      <c r="K647" s="862"/>
      <c r="L647" s="862"/>
      <c r="M647" s="862"/>
      <c r="N647" s="862"/>
      <c r="O647" s="862"/>
      <c r="P647" s="862"/>
      <c r="Q647" s="862"/>
      <c r="R647" s="862"/>
      <c r="S647" s="862"/>
      <c r="T647" s="862"/>
      <c r="U647" s="862"/>
      <c r="V647" s="862"/>
      <c r="W647" s="862">
        <f t="shared" ref="W647:W661" si="175">J647+M647+S647</f>
        <v>413345420</v>
      </c>
      <c r="X647" s="862">
        <f t="shared" ref="X647:X661" si="176">H647-I647-J647+N647+T647</f>
        <v>6003130</v>
      </c>
      <c r="Y647" s="862">
        <f t="shared" ref="Y647:Y661" si="177">G647+L647+R647</f>
        <v>161084551913</v>
      </c>
    </row>
    <row r="648" spans="1:25" ht="42" customHeight="1">
      <c r="A648" s="953">
        <v>3</v>
      </c>
      <c r="B648" s="962" t="s">
        <v>1221</v>
      </c>
      <c r="C648" s="876"/>
      <c r="D648" s="870" t="s">
        <v>825</v>
      </c>
      <c r="E648" s="963" t="s">
        <v>635</v>
      </c>
      <c r="F648" s="862"/>
      <c r="G648" s="862">
        <v>26372013000</v>
      </c>
      <c r="H648" s="862">
        <v>6185377715</v>
      </c>
      <c r="I648" s="862"/>
      <c r="J648" s="862">
        <v>1607306215</v>
      </c>
      <c r="K648" s="862"/>
      <c r="L648" s="862"/>
      <c r="M648" s="862"/>
      <c r="N648" s="862"/>
      <c r="O648" s="862"/>
      <c r="P648" s="862"/>
      <c r="Q648" s="862"/>
      <c r="R648" s="862"/>
      <c r="S648" s="862"/>
      <c r="T648" s="862"/>
      <c r="U648" s="862"/>
      <c r="V648" s="862"/>
      <c r="W648" s="862">
        <f t="shared" si="175"/>
        <v>1607306215</v>
      </c>
      <c r="X648" s="862">
        <f>H648-I648-J648+N648+T648</f>
        <v>4578071500</v>
      </c>
      <c r="Y648" s="862">
        <f t="shared" si="177"/>
        <v>26372013000</v>
      </c>
    </row>
    <row r="649" spans="1:25" ht="32.1" customHeight="1">
      <c r="A649" s="953">
        <v>4</v>
      </c>
      <c r="B649" s="865" t="s">
        <v>1222</v>
      </c>
      <c r="C649" s="876"/>
      <c r="D649" s="870" t="s">
        <v>825</v>
      </c>
      <c r="E649" s="870" t="s">
        <v>634</v>
      </c>
      <c r="F649" s="862"/>
      <c r="G649" s="862">
        <v>6442023000</v>
      </c>
      <c r="H649" s="862">
        <v>3184000000</v>
      </c>
      <c r="I649" s="862"/>
      <c r="J649" s="862"/>
      <c r="K649" s="862"/>
      <c r="L649" s="862"/>
      <c r="M649" s="862"/>
      <c r="N649" s="862"/>
      <c r="O649" s="862"/>
      <c r="P649" s="862"/>
      <c r="Q649" s="862"/>
      <c r="R649" s="862"/>
      <c r="S649" s="862"/>
      <c r="T649" s="862"/>
      <c r="U649" s="862"/>
      <c r="V649" s="862"/>
      <c r="W649" s="862">
        <f t="shared" si="175"/>
        <v>0</v>
      </c>
      <c r="X649" s="862">
        <f t="shared" si="176"/>
        <v>3184000000</v>
      </c>
      <c r="Y649" s="862">
        <f t="shared" si="177"/>
        <v>6442023000</v>
      </c>
    </row>
    <row r="650" spans="1:25" ht="15" customHeight="1">
      <c r="A650" s="953">
        <v>5</v>
      </c>
      <c r="B650" s="962" t="s">
        <v>1223</v>
      </c>
      <c r="C650" s="876"/>
      <c r="D650" s="870" t="s">
        <v>825</v>
      </c>
      <c r="E650" s="963" t="s">
        <v>9</v>
      </c>
      <c r="F650" s="862"/>
      <c r="G650" s="862">
        <v>29119733040</v>
      </c>
      <c r="H650" s="862">
        <v>85828000</v>
      </c>
      <c r="I650" s="862">
        <v>85828000</v>
      </c>
      <c r="J650" s="862"/>
      <c r="K650" s="862"/>
      <c r="L650" s="862"/>
      <c r="M650" s="862"/>
      <c r="N650" s="862"/>
      <c r="O650" s="862"/>
      <c r="P650" s="862"/>
      <c r="Q650" s="862"/>
      <c r="R650" s="862"/>
      <c r="S650" s="862"/>
      <c r="T650" s="862"/>
      <c r="U650" s="862"/>
      <c r="V650" s="862"/>
      <c r="W650" s="862">
        <f t="shared" si="175"/>
        <v>0</v>
      </c>
      <c r="X650" s="862">
        <f t="shared" si="176"/>
        <v>0</v>
      </c>
      <c r="Y650" s="862">
        <f t="shared" si="177"/>
        <v>29119733040</v>
      </c>
    </row>
    <row r="651" spans="1:25" ht="32.1" customHeight="1">
      <c r="A651" s="953">
        <v>6</v>
      </c>
      <c r="B651" s="962" t="s">
        <v>636</v>
      </c>
      <c r="C651" s="876"/>
      <c r="D651" s="870" t="s">
        <v>825</v>
      </c>
      <c r="E651" s="963" t="s">
        <v>605</v>
      </c>
      <c r="F651" s="862"/>
      <c r="G651" s="862">
        <v>28277189142</v>
      </c>
      <c r="H651" s="862">
        <v>278745159</v>
      </c>
      <c r="I651" s="862"/>
      <c r="J651" s="862">
        <v>230134112</v>
      </c>
      <c r="K651" s="862"/>
      <c r="L651" s="862"/>
      <c r="M651" s="862"/>
      <c r="N651" s="862"/>
      <c r="O651" s="862"/>
      <c r="P651" s="862"/>
      <c r="Q651" s="862"/>
      <c r="R651" s="862"/>
      <c r="S651" s="862"/>
      <c r="T651" s="862"/>
      <c r="U651" s="862"/>
      <c r="V651" s="862"/>
      <c r="W651" s="862">
        <f t="shared" si="175"/>
        <v>230134112</v>
      </c>
      <c r="X651" s="862">
        <f t="shared" si="176"/>
        <v>48611047</v>
      </c>
      <c r="Y651" s="862">
        <f t="shared" si="177"/>
        <v>28277189142</v>
      </c>
    </row>
    <row r="652" spans="1:25" ht="69.75" customHeight="1">
      <c r="A652" s="953">
        <v>7</v>
      </c>
      <c r="B652" s="909" t="s">
        <v>1224</v>
      </c>
      <c r="C652" s="876"/>
      <c r="D652" s="870" t="s">
        <v>825</v>
      </c>
      <c r="E652" s="870" t="s">
        <v>537</v>
      </c>
      <c r="F652" s="862"/>
      <c r="G652" s="862">
        <v>21941392981</v>
      </c>
      <c r="H652" s="862">
        <v>272285701</v>
      </c>
      <c r="I652" s="862"/>
      <c r="J652" s="862">
        <v>272285701</v>
      </c>
      <c r="K652" s="862"/>
      <c r="L652" s="862"/>
      <c r="M652" s="862"/>
      <c r="N652" s="862"/>
      <c r="O652" s="862"/>
      <c r="P652" s="862"/>
      <c r="Q652" s="862"/>
      <c r="R652" s="862"/>
      <c r="S652" s="862"/>
      <c r="T652" s="862"/>
      <c r="U652" s="862"/>
      <c r="V652" s="862"/>
      <c r="W652" s="862">
        <f t="shared" si="175"/>
        <v>272285701</v>
      </c>
      <c r="X652" s="862">
        <f t="shared" si="176"/>
        <v>0</v>
      </c>
      <c r="Y652" s="862">
        <f t="shared" si="177"/>
        <v>21941392981</v>
      </c>
    </row>
    <row r="653" spans="1:25" ht="24.95" customHeight="1">
      <c r="A653" s="951"/>
      <c r="B653" s="883" t="s">
        <v>1500</v>
      </c>
      <c r="C653" s="876"/>
      <c r="D653" s="870"/>
      <c r="E653" s="872"/>
      <c r="F653" s="862"/>
      <c r="G653" s="862"/>
      <c r="H653" s="862">
        <v>3257709426</v>
      </c>
      <c r="I653" s="862">
        <v>0</v>
      </c>
      <c r="J653" s="862">
        <v>0</v>
      </c>
      <c r="K653" s="862"/>
      <c r="L653" s="862"/>
      <c r="M653" s="862"/>
      <c r="N653" s="862"/>
      <c r="O653" s="862"/>
      <c r="P653" s="862"/>
      <c r="Q653" s="862"/>
      <c r="R653" s="862"/>
      <c r="S653" s="862"/>
      <c r="T653" s="862"/>
      <c r="U653" s="862"/>
      <c r="V653" s="862"/>
      <c r="W653" s="862">
        <f t="shared" si="175"/>
        <v>0</v>
      </c>
      <c r="X653" s="862">
        <f t="shared" si="176"/>
        <v>3257709426</v>
      </c>
      <c r="Y653" s="862">
        <f t="shared" si="177"/>
        <v>0</v>
      </c>
    </row>
    <row r="654" spans="1:25" ht="15" customHeight="1">
      <c r="A654" s="953">
        <v>1</v>
      </c>
      <c r="B654" s="966" t="s">
        <v>470</v>
      </c>
      <c r="C654" s="876"/>
      <c r="D654" s="870"/>
      <c r="E654" s="863"/>
      <c r="F654" s="862"/>
      <c r="G654" s="862"/>
      <c r="H654" s="862">
        <v>2402402626</v>
      </c>
      <c r="I654" s="862"/>
      <c r="J654" s="862"/>
      <c r="K654" s="862"/>
      <c r="L654" s="862"/>
      <c r="M654" s="862"/>
      <c r="N654" s="862"/>
      <c r="O654" s="862"/>
      <c r="P654" s="862"/>
      <c r="Q654" s="862"/>
      <c r="R654" s="862"/>
      <c r="S654" s="862"/>
      <c r="T654" s="862"/>
      <c r="U654" s="862"/>
      <c r="V654" s="862"/>
      <c r="W654" s="862">
        <f t="shared" si="175"/>
        <v>0</v>
      </c>
      <c r="X654" s="862">
        <f t="shared" si="176"/>
        <v>2402402626</v>
      </c>
      <c r="Y654" s="862">
        <f t="shared" si="177"/>
        <v>0</v>
      </c>
    </row>
    <row r="655" spans="1:25" ht="15" customHeight="1">
      <c r="A655" s="953">
        <v>2</v>
      </c>
      <c r="B655" s="966" t="s">
        <v>467</v>
      </c>
      <c r="C655" s="876"/>
      <c r="D655" s="870"/>
      <c r="E655" s="863"/>
      <c r="F655" s="862"/>
      <c r="G655" s="862"/>
      <c r="H655" s="862">
        <v>254927800</v>
      </c>
      <c r="I655" s="862"/>
      <c r="J655" s="862"/>
      <c r="K655" s="862"/>
      <c r="L655" s="862"/>
      <c r="M655" s="862"/>
      <c r="N655" s="862"/>
      <c r="O655" s="862"/>
      <c r="P655" s="862"/>
      <c r="Q655" s="862"/>
      <c r="R655" s="862"/>
      <c r="S655" s="862"/>
      <c r="T655" s="862"/>
      <c r="U655" s="862"/>
      <c r="V655" s="862"/>
      <c r="W655" s="862">
        <f t="shared" si="175"/>
        <v>0</v>
      </c>
      <c r="X655" s="862">
        <f t="shared" si="176"/>
        <v>254927800</v>
      </c>
      <c r="Y655" s="862">
        <f t="shared" si="177"/>
        <v>0</v>
      </c>
    </row>
    <row r="656" spans="1:25" ht="15" customHeight="1">
      <c r="A656" s="953">
        <v>3</v>
      </c>
      <c r="B656" s="966" t="s">
        <v>466</v>
      </c>
      <c r="C656" s="876"/>
      <c r="D656" s="870"/>
      <c r="E656" s="863"/>
      <c r="F656" s="862"/>
      <c r="G656" s="862"/>
      <c r="H656" s="862">
        <v>600379000</v>
      </c>
      <c r="I656" s="862"/>
      <c r="J656" s="862"/>
      <c r="K656" s="862"/>
      <c r="L656" s="862"/>
      <c r="M656" s="862"/>
      <c r="N656" s="862"/>
      <c r="O656" s="862"/>
      <c r="P656" s="862"/>
      <c r="Q656" s="862"/>
      <c r="R656" s="862"/>
      <c r="S656" s="862"/>
      <c r="T656" s="862"/>
      <c r="U656" s="862"/>
      <c r="V656" s="862"/>
      <c r="W656" s="862">
        <f t="shared" si="175"/>
        <v>0</v>
      </c>
      <c r="X656" s="862">
        <f t="shared" si="176"/>
        <v>600379000</v>
      </c>
      <c r="Y656" s="862">
        <f t="shared" si="177"/>
        <v>0</v>
      </c>
    </row>
    <row r="657" spans="1:25" hidden="1">
      <c r="A657" s="870">
        <v>-2</v>
      </c>
      <c r="B657" s="887" t="s">
        <v>800</v>
      </c>
      <c r="C657" s="876"/>
      <c r="D657" s="870"/>
      <c r="E657" s="870"/>
      <c r="F657" s="862"/>
      <c r="G657" s="862"/>
      <c r="H657" s="862"/>
      <c r="I657" s="862"/>
      <c r="J657" s="862"/>
      <c r="K657" s="862"/>
      <c r="L657" s="862"/>
      <c r="M657" s="862"/>
      <c r="N657" s="862"/>
      <c r="O657" s="862"/>
      <c r="P657" s="862"/>
      <c r="Q657" s="862"/>
      <c r="R657" s="862">
        <f t="shared" si="107"/>
        <v>0</v>
      </c>
      <c r="S657" s="862"/>
      <c r="T657" s="862"/>
      <c r="U657" s="862"/>
      <c r="V657" s="862"/>
      <c r="W657" s="862">
        <f t="shared" si="175"/>
        <v>0</v>
      </c>
      <c r="X657" s="862">
        <f t="shared" si="176"/>
        <v>0</v>
      </c>
      <c r="Y657" s="862">
        <f t="shared" si="177"/>
        <v>0</v>
      </c>
    </row>
    <row r="658" spans="1:25" hidden="1">
      <c r="A658" s="870">
        <v>-3</v>
      </c>
      <c r="B658" s="887" t="s">
        <v>802</v>
      </c>
      <c r="C658" s="876"/>
      <c r="D658" s="870"/>
      <c r="E658" s="870"/>
      <c r="F658" s="862"/>
      <c r="G658" s="862"/>
      <c r="H658" s="862"/>
      <c r="I658" s="862"/>
      <c r="J658" s="862"/>
      <c r="K658" s="862"/>
      <c r="L658" s="862"/>
      <c r="M658" s="862"/>
      <c r="N658" s="862"/>
      <c r="O658" s="862"/>
      <c r="P658" s="862"/>
      <c r="Q658" s="862"/>
      <c r="R658" s="862">
        <f t="shared" si="107"/>
        <v>0</v>
      </c>
      <c r="S658" s="862"/>
      <c r="T658" s="862"/>
      <c r="U658" s="862"/>
      <c r="V658" s="862"/>
      <c r="W658" s="862">
        <f t="shared" si="175"/>
        <v>0</v>
      </c>
      <c r="X658" s="862">
        <f t="shared" si="176"/>
        <v>0</v>
      </c>
      <c r="Y658" s="862">
        <f t="shared" si="177"/>
        <v>0</v>
      </c>
    </row>
    <row r="659" spans="1:25" ht="21" hidden="1">
      <c r="A659" s="871">
        <v>2</v>
      </c>
      <c r="B659" s="883" t="s">
        <v>803</v>
      </c>
      <c r="C659" s="875"/>
      <c r="D659" s="871"/>
      <c r="E659" s="871"/>
      <c r="F659" s="884"/>
      <c r="G659" s="884"/>
      <c r="H659" s="884"/>
      <c r="I659" s="884"/>
      <c r="J659" s="884"/>
      <c r="K659" s="884"/>
      <c r="L659" s="884"/>
      <c r="M659" s="884"/>
      <c r="N659" s="884"/>
      <c r="O659" s="884"/>
      <c r="P659" s="884"/>
      <c r="Q659" s="884"/>
      <c r="R659" s="862">
        <f t="shared" si="107"/>
        <v>0</v>
      </c>
      <c r="S659" s="884"/>
      <c r="T659" s="884"/>
      <c r="U659" s="884"/>
      <c r="V659" s="884"/>
      <c r="W659" s="862">
        <f t="shared" si="175"/>
        <v>0</v>
      </c>
      <c r="X659" s="862">
        <f t="shared" si="176"/>
        <v>0</v>
      </c>
      <c r="Y659" s="862">
        <f t="shared" si="177"/>
        <v>0</v>
      </c>
    </row>
    <row r="660" spans="1:25" hidden="1">
      <c r="A660" s="870"/>
      <c r="B660" s="887" t="s">
        <v>804</v>
      </c>
      <c r="C660" s="876"/>
      <c r="D660" s="870"/>
      <c r="E660" s="870"/>
      <c r="F660" s="862"/>
      <c r="G660" s="862"/>
      <c r="H660" s="862"/>
      <c r="I660" s="862"/>
      <c r="J660" s="862"/>
      <c r="K660" s="862"/>
      <c r="L660" s="862"/>
      <c r="M660" s="862"/>
      <c r="N660" s="862"/>
      <c r="O660" s="862"/>
      <c r="P660" s="862"/>
      <c r="Q660" s="862"/>
      <c r="R660" s="862">
        <f t="shared" si="107"/>
        <v>0</v>
      </c>
      <c r="S660" s="862"/>
      <c r="T660" s="862"/>
      <c r="U660" s="862"/>
      <c r="V660" s="862"/>
      <c r="W660" s="862">
        <f t="shared" si="175"/>
        <v>0</v>
      </c>
      <c r="X660" s="862">
        <f t="shared" si="176"/>
        <v>0</v>
      </c>
      <c r="Y660" s="862">
        <f t="shared" si="177"/>
        <v>0</v>
      </c>
    </row>
    <row r="661" spans="1:25" hidden="1">
      <c r="A661" s="870"/>
      <c r="B661" s="887" t="s">
        <v>1046</v>
      </c>
      <c r="C661" s="876"/>
      <c r="D661" s="870"/>
      <c r="E661" s="870"/>
      <c r="F661" s="862"/>
      <c r="G661" s="862"/>
      <c r="H661" s="862"/>
      <c r="I661" s="862"/>
      <c r="J661" s="862"/>
      <c r="K661" s="862"/>
      <c r="L661" s="862"/>
      <c r="M661" s="862"/>
      <c r="N661" s="862"/>
      <c r="O661" s="862"/>
      <c r="P661" s="862"/>
      <c r="Q661" s="862"/>
      <c r="R661" s="862">
        <f t="shared" si="107"/>
        <v>0</v>
      </c>
      <c r="S661" s="862"/>
      <c r="T661" s="862"/>
      <c r="U661" s="862"/>
      <c r="V661" s="862"/>
      <c r="W661" s="862">
        <f t="shared" si="175"/>
        <v>0</v>
      </c>
      <c r="X661" s="862">
        <f t="shared" si="176"/>
        <v>0</v>
      </c>
      <c r="Y661" s="862">
        <f t="shared" si="177"/>
        <v>0</v>
      </c>
    </row>
    <row r="662" spans="1:25" ht="15" customHeight="1">
      <c r="A662" s="871" t="s">
        <v>112</v>
      </c>
      <c r="B662" s="883" t="s">
        <v>1498</v>
      </c>
      <c r="C662" s="875"/>
      <c r="D662" s="871"/>
      <c r="E662" s="871"/>
      <c r="F662" s="884">
        <f t="shared" ref="F662:Y662" si="178">F663+F673+F728</f>
        <v>5936013400000</v>
      </c>
      <c r="G662" s="884">
        <f t="shared" si="178"/>
        <v>6208872632036</v>
      </c>
      <c r="H662" s="884">
        <f t="shared" si="178"/>
        <v>241325898201</v>
      </c>
      <c r="I662" s="884">
        <f t="shared" si="178"/>
        <v>4164345824</v>
      </c>
      <c r="J662" s="884">
        <f t="shared" si="178"/>
        <v>113513468417</v>
      </c>
      <c r="K662" s="884">
        <f t="shared" si="178"/>
        <v>0</v>
      </c>
      <c r="L662" s="884">
        <f t="shared" si="178"/>
        <v>0</v>
      </c>
      <c r="M662" s="884">
        <f t="shared" si="178"/>
        <v>0</v>
      </c>
      <c r="N662" s="884">
        <f t="shared" si="178"/>
        <v>0</v>
      </c>
      <c r="O662" s="884">
        <f t="shared" si="178"/>
        <v>0</v>
      </c>
      <c r="P662" s="884">
        <f t="shared" si="178"/>
        <v>0</v>
      </c>
      <c r="Q662" s="884">
        <f t="shared" si="178"/>
        <v>0</v>
      </c>
      <c r="R662" s="884">
        <f t="shared" si="178"/>
        <v>0</v>
      </c>
      <c r="S662" s="884">
        <f t="shared" si="178"/>
        <v>0</v>
      </c>
      <c r="T662" s="884">
        <f t="shared" si="178"/>
        <v>0</v>
      </c>
      <c r="U662" s="884">
        <f t="shared" si="178"/>
        <v>0</v>
      </c>
      <c r="V662" s="884">
        <f t="shared" si="178"/>
        <v>0</v>
      </c>
      <c r="W662" s="884">
        <f>W663+W673+W728</f>
        <v>113513468417</v>
      </c>
      <c r="X662" s="884">
        <f t="shared" si="178"/>
        <v>123648083960</v>
      </c>
      <c r="Y662" s="884">
        <f t="shared" si="178"/>
        <v>6208872632036</v>
      </c>
    </row>
    <row r="663" spans="1:25" ht="15" customHeight="1">
      <c r="A663" s="871">
        <v>1</v>
      </c>
      <c r="B663" s="883" t="s">
        <v>1499</v>
      </c>
      <c r="C663" s="875"/>
      <c r="D663" s="871"/>
      <c r="E663" s="871"/>
      <c r="F663" s="884">
        <f>SUM(F664:F672)</f>
        <v>0</v>
      </c>
      <c r="G663" s="884">
        <f t="shared" ref="G663:Y663" si="179">SUM(G664:G672)</f>
        <v>10122723072</v>
      </c>
      <c r="H663" s="884">
        <f t="shared" si="179"/>
        <v>331640000</v>
      </c>
      <c r="I663" s="884">
        <f t="shared" si="179"/>
        <v>0</v>
      </c>
      <c r="J663" s="884">
        <f t="shared" si="179"/>
        <v>0</v>
      </c>
      <c r="K663" s="884">
        <f t="shared" si="179"/>
        <v>0</v>
      </c>
      <c r="L663" s="884">
        <f t="shared" si="179"/>
        <v>0</v>
      </c>
      <c r="M663" s="884">
        <f t="shared" si="179"/>
        <v>0</v>
      </c>
      <c r="N663" s="884">
        <f t="shared" si="179"/>
        <v>0</v>
      </c>
      <c r="O663" s="884">
        <f t="shared" si="179"/>
        <v>0</v>
      </c>
      <c r="P663" s="884">
        <f t="shared" si="179"/>
        <v>0</v>
      </c>
      <c r="Q663" s="884">
        <f t="shared" si="179"/>
        <v>0</v>
      </c>
      <c r="R663" s="884">
        <f t="shared" si="179"/>
        <v>0</v>
      </c>
      <c r="S663" s="884">
        <f t="shared" si="179"/>
        <v>0</v>
      </c>
      <c r="T663" s="884">
        <f t="shared" si="179"/>
        <v>0</v>
      </c>
      <c r="U663" s="884">
        <f t="shared" si="179"/>
        <v>0</v>
      </c>
      <c r="V663" s="884">
        <f t="shared" si="179"/>
        <v>0</v>
      </c>
      <c r="W663" s="884">
        <f t="shared" si="179"/>
        <v>0</v>
      </c>
      <c r="X663" s="884">
        <f t="shared" si="179"/>
        <v>331640000</v>
      </c>
      <c r="Y663" s="884">
        <f t="shared" si="179"/>
        <v>10122723072</v>
      </c>
    </row>
    <row r="664" spans="1:25" ht="15" customHeight="1">
      <c r="A664" s="953">
        <v>1</v>
      </c>
      <c r="B664" s="865" t="s">
        <v>1497</v>
      </c>
      <c r="C664" s="876"/>
      <c r="D664" s="870" t="s">
        <v>825</v>
      </c>
      <c r="E664" s="953">
        <v>7229468</v>
      </c>
      <c r="F664" s="862"/>
      <c r="G664" s="862">
        <v>2672797572</v>
      </c>
      <c r="H664" s="862">
        <v>37717000</v>
      </c>
      <c r="I664" s="862"/>
      <c r="J664" s="862"/>
      <c r="K664" s="862"/>
      <c r="L664" s="862"/>
      <c r="M664" s="862"/>
      <c r="N664" s="862"/>
      <c r="O664" s="862"/>
      <c r="P664" s="862"/>
      <c r="Q664" s="862"/>
      <c r="R664" s="862"/>
      <c r="S664" s="862"/>
      <c r="T664" s="862"/>
      <c r="U664" s="862"/>
      <c r="V664" s="862"/>
      <c r="W664" s="862">
        <f t="shared" ref="W664:W672" si="180">J664+M664+S664</f>
        <v>0</v>
      </c>
      <c r="X664" s="862">
        <f t="shared" ref="X664:X672" si="181">H664-I664-J664+N664+T664</f>
        <v>37717000</v>
      </c>
      <c r="Y664" s="862">
        <f t="shared" ref="Y664:Y672" si="182">G664+L664+R664</f>
        <v>2672797572</v>
      </c>
    </row>
    <row r="665" spans="1:25" ht="15" customHeight="1">
      <c r="A665" s="953">
        <v>2</v>
      </c>
      <c r="B665" s="865" t="s">
        <v>1496</v>
      </c>
      <c r="C665" s="876"/>
      <c r="D665" s="870" t="s">
        <v>825</v>
      </c>
      <c r="E665" s="953">
        <v>7252772</v>
      </c>
      <c r="F665" s="862"/>
      <c r="G665" s="862">
        <v>108541000</v>
      </c>
      <c r="H665" s="862">
        <v>30000000</v>
      </c>
      <c r="I665" s="862"/>
      <c r="J665" s="862"/>
      <c r="K665" s="862"/>
      <c r="L665" s="862"/>
      <c r="M665" s="862"/>
      <c r="N665" s="862"/>
      <c r="O665" s="862"/>
      <c r="P665" s="862"/>
      <c r="Q665" s="862"/>
      <c r="R665" s="862"/>
      <c r="S665" s="862"/>
      <c r="T665" s="862"/>
      <c r="U665" s="862"/>
      <c r="V665" s="862"/>
      <c r="W665" s="862">
        <f t="shared" si="180"/>
        <v>0</v>
      </c>
      <c r="X665" s="862">
        <f t="shared" si="181"/>
        <v>30000000</v>
      </c>
      <c r="Y665" s="862">
        <f t="shared" si="182"/>
        <v>108541000</v>
      </c>
    </row>
    <row r="666" spans="1:25" ht="24.95" customHeight="1">
      <c r="A666" s="953">
        <v>3</v>
      </c>
      <c r="B666" s="865" t="s">
        <v>1495</v>
      </c>
      <c r="C666" s="876"/>
      <c r="D666" s="870" t="s">
        <v>825</v>
      </c>
      <c r="E666" s="953">
        <v>7252835</v>
      </c>
      <c r="F666" s="862"/>
      <c r="G666" s="862">
        <v>62842000</v>
      </c>
      <c r="H666" s="862">
        <v>54000000</v>
      </c>
      <c r="I666" s="862"/>
      <c r="J666" s="862"/>
      <c r="K666" s="862"/>
      <c r="L666" s="862"/>
      <c r="M666" s="862"/>
      <c r="N666" s="862"/>
      <c r="O666" s="862"/>
      <c r="P666" s="862"/>
      <c r="Q666" s="862"/>
      <c r="R666" s="862"/>
      <c r="S666" s="862"/>
      <c r="T666" s="862"/>
      <c r="U666" s="862"/>
      <c r="V666" s="862"/>
      <c r="W666" s="862">
        <f t="shared" si="180"/>
        <v>0</v>
      </c>
      <c r="X666" s="862">
        <f t="shared" si="181"/>
        <v>54000000</v>
      </c>
      <c r="Y666" s="862">
        <f t="shared" si="182"/>
        <v>62842000</v>
      </c>
    </row>
    <row r="667" spans="1:25" ht="24.95" customHeight="1">
      <c r="A667" s="953">
        <v>4</v>
      </c>
      <c r="B667" s="865" t="s">
        <v>1494</v>
      </c>
      <c r="C667" s="876"/>
      <c r="D667" s="870" t="s">
        <v>825</v>
      </c>
      <c r="E667" s="953">
        <v>7252883</v>
      </c>
      <c r="F667" s="862"/>
      <c r="G667" s="862">
        <v>86000000</v>
      </c>
      <c r="H667" s="862">
        <v>36000000</v>
      </c>
      <c r="I667" s="862"/>
      <c r="J667" s="862"/>
      <c r="K667" s="862"/>
      <c r="L667" s="862"/>
      <c r="M667" s="862"/>
      <c r="N667" s="862"/>
      <c r="O667" s="862"/>
      <c r="P667" s="862"/>
      <c r="Q667" s="862"/>
      <c r="R667" s="862"/>
      <c r="S667" s="862"/>
      <c r="T667" s="862"/>
      <c r="U667" s="862"/>
      <c r="V667" s="862"/>
      <c r="W667" s="862">
        <f t="shared" si="180"/>
        <v>0</v>
      </c>
      <c r="X667" s="862">
        <f t="shared" si="181"/>
        <v>36000000</v>
      </c>
      <c r="Y667" s="862">
        <f t="shared" si="182"/>
        <v>86000000</v>
      </c>
    </row>
    <row r="668" spans="1:25" ht="24.95" customHeight="1">
      <c r="A668" s="953">
        <v>5</v>
      </c>
      <c r="B668" s="865" t="s">
        <v>1493</v>
      </c>
      <c r="C668" s="876"/>
      <c r="D668" s="870" t="s">
        <v>825</v>
      </c>
      <c r="E668" s="953">
        <v>7252990</v>
      </c>
      <c r="F668" s="862"/>
      <c r="G668" s="862">
        <v>71833000</v>
      </c>
      <c r="H668" s="862">
        <v>43000000</v>
      </c>
      <c r="I668" s="862"/>
      <c r="J668" s="862"/>
      <c r="K668" s="862"/>
      <c r="L668" s="862"/>
      <c r="M668" s="862"/>
      <c r="N668" s="862"/>
      <c r="O668" s="862"/>
      <c r="P668" s="862"/>
      <c r="Q668" s="862"/>
      <c r="R668" s="862"/>
      <c r="S668" s="862"/>
      <c r="T668" s="862"/>
      <c r="U668" s="862"/>
      <c r="V668" s="862"/>
      <c r="W668" s="862">
        <f t="shared" si="180"/>
        <v>0</v>
      </c>
      <c r="X668" s="862">
        <f t="shared" si="181"/>
        <v>43000000</v>
      </c>
      <c r="Y668" s="862">
        <f t="shared" si="182"/>
        <v>71833000</v>
      </c>
    </row>
    <row r="669" spans="1:25" ht="24.95" customHeight="1">
      <c r="A669" s="953">
        <v>6</v>
      </c>
      <c r="B669" s="865" t="s">
        <v>1492</v>
      </c>
      <c r="C669" s="876"/>
      <c r="D669" s="870" t="s">
        <v>825</v>
      </c>
      <c r="E669" s="953">
        <v>7254314</v>
      </c>
      <c r="F669" s="862"/>
      <c r="G669" s="862">
        <v>54313000</v>
      </c>
      <c r="H669" s="862">
        <v>20000000</v>
      </c>
      <c r="I669" s="862"/>
      <c r="J669" s="862"/>
      <c r="K669" s="862"/>
      <c r="L669" s="862"/>
      <c r="M669" s="862"/>
      <c r="N669" s="862"/>
      <c r="O669" s="862"/>
      <c r="P669" s="862"/>
      <c r="Q669" s="862"/>
      <c r="R669" s="862"/>
      <c r="S669" s="862"/>
      <c r="T669" s="862"/>
      <c r="U669" s="862"/>
      <c r="V669" s="862"/>
      <c r="W669" s="862">
        <f t="shared" si="180"/>
        <v>0</v>
      </c>
      <c r="X669" s="862">
        <f t="shared" si="181"/>
        <v>20000000</v>
      </c>
      <c r="Y669" s="862">
        <f t="shared" si="182"/>
        <v>54313000</v>
      </c>
    </row>
    <row r="670" spans="1:25" ht="24.95" customHeight="1">
      <c r="A670" s="953">
        <v>7</v>
      </c>
      <c r="B670" s="865" t="s">
        <v>1225</v>
      </c>
      <c r="C670" s="876"/>
      <c r="D670" s="870" t="s">
        <v>825</v>
      </c>
      <c r="E670" s="953">
        <v>7254352</v>
      </c>
      <c r="F670" s="862"/>
      <c r="G670" s="862">
        <v>75000000</v>
      </c>
      <c r="H670" s="862">
        <v>50000000</v>
      </c>
      <c r="I670" s="862"/>
      <c r="J670" s="862"/>
      <c r="K670" s="862"/>
      <c r="L670" s="862"/>
      <c r="M670" s="862"/>
      <c r="N670" s="862"/>
      <c r="O670" s="862"/>
      <c r="P670" s="862"/>
      <c r="Q670" s="862"/>
      <c r="R670" s="862"/>
      <c r="S670" s="862"/>
      <c r="T670" s="862"/>
      <c r="U670" s="862"/>
      <c r="V670" s="862"/>
      <c r="W670" s="862">
        <f t="shared" si="180"/>
        <v>0</v>
      </c>
      <c r="X670" s="862">
        <f t="shared" si="181"/>
        <v>50000000</v>
      </c>
      <c r="Y670" s="862">
        <f t="shared" si="182"/>
        <v>75000000</v>
      </c>
    </row>
    <row r="671" spans="1:25" ht="15" customHeight="1">
      <c r="A671" s="953">
        <v>8</v>
      </c>
      <c r="B671" s="865" t="s">
        <v>1226</v>
      </c>
      <c r="C671" s="876"/>
      <c r="D671" s="870" t="s">
        <v>825</v>
      </c>
      <c r="E671" s="953">
        <v>7254368</v>
      </c>
      <c r="F671" s="862"/>
      <c r="G671" s="862">
        <v>107500000</v>
      </c>
      <c r="H671" s="862">
        <v>60000000</v>
      </c>
      <c r="I671" s="862"/>
      <c r="J671" s="862"/>
      <c r="K671" s="862"/>
      <c r="L671" s="862"/>
      <c r="M671" s="862"/>
      <c r="N671" s="862"/>
      <c r="O671" s="862"/>
      <c r="P671" s="862"/>
      <c r="Q671" s="862"/>
      <c r="R671" s="862"/>
      <c r="S671" s="862"/>
      <c r="T671" s="862"/>
      <c r="U671" s="862"/>
      <c r="V671" s="862"/>
      <c r="W671" s="862">
        <f t="shared" si="180"/>
        <v>0</v>
      </c>
      <c r="X671" s="862">
        <f t="shared" si="181"/>
        <v>60000000</v>
      </c>
      <c r="Y671" s="862">
        <f t="shared" si="182"/>
        <v>107500000</v>
      </c>
    </row>
    <row r="672" spans="1:25" ht="24.95" customHeight="1">
      <c r="A672" s="953">
        <v>9</v>
      </c>
      <c r="B672" s="865" t="s">
        <v>1227</v>
      </c>
      <c r="C672" s="876"/>
      <c r="D672" s="870" t="s">
        <v>825</v>
      </c>
      <c r="E672" s="863">
        <v>7307612</v>
      </c>
      <c r="F672" s="862"/>
      <c r="G672" s="862">
        <v>6883896500</v>
      </c>
      <c r="H672" s="862">
        <v>923000</v>
      </c>
      <c r="I672" s="862"/>
      <c r="J672" s="862"/>
      <c r="K672" s="862"/>
      <c r="L672" s="862"/>
      <c r="M672" s="862"/>
      <c r="N672" s="862"/>
      <c r="O672" s="862"/>
      <c r="P672" s="862"/>
      <c r="Q672" s="862"/>
      <c r="R672" s="862"/>
      <c r="S672" s="862"/>
      <c r="T672" s="862"/>
      <c r="U672" s="862"/>
      <c r="V672" s="862"/>
      <c r="W672" s="862">
        <f t="shared" si="180"/>
        <v>0</v>
      </c>
      <c r="X672" s="862">
        <f t="shared" si="181"/>
        <v>923000</v>
      </c>
      <c r="Y672" s="862">
        <f t="shared" si="182"/>
        <v>6883896500</v>
      </c>
    </row>
    <row r="673" spans="1:25" ht="15" customHeight="1">
      <c r="A673" s="871">
        <v>2</v>
      </c>
      <c r="B673" s="883" t="s">
        <v>1047</v>
      </c>
      <c r="C673" s="875"/>
      <c r="D673" s="871"/>
      <c r="E673" s="871"/>
      <c r="F673" s="884"/>
      <c r="G673" s="884">
        <f>G674</f>
        <v>1827086968190</v>
      </c>
      <c r="H673" s="884">
        <f t="shared" ref="H673:Y673" si="183">H674</f>
        <v>175828181618</v>
      </c>
      <c r="I673" s="884">
        <f t="shared" si="183"/>
        <v>2890155231</v>
      </c>
      <c r="J673" s="884">
        <f t="shared" si="183"/>
        <v>68798493510</v>
      </c>
      <c r="K673" s="884">
        <f t="shared" si="183"/>
        <v>0</v>
      </c>
      <c r="L673" s="884">
        <f t="shared" si="183"/>
        <v>0</v>
      </c>
      <c r="M673" s="884">
        <f t="shared" si="183"/>
        <v>0</v>
      </c>
      <c r="N673" s="884">
        <f t="shared" si="183"/>
        <v>0</v>
      </c>
      <c r="O673" s="884">
        <f t="shared" si="183"/>
        <v>0</v>
      </c>
      <c r="P673" s="884">
        <f t="shared" si="183"/>
        <v>0</v>
      </c>
      <c r="Q673" s="884">
        <f t="shared" si="183"/>
        <v>0</v>
      </c>
      <c r="R673" s="884">
        <f t="shared" si="183"/>
        <v>0</v>
      </c>
      <c r="S673" s="884">
        <f t="shared" si="183"/>
        <v>0</v>
      </c>
      <c r="T673" s="884">
        <f t="shared" si="183"/>
        <v>0</v>
      </c>
      <c r="U673" s="884">
        <f t="shared" si="183"/>
        <v>0</v>
      </c>
      <c r="V673" s="884">
        <f t="shared" si="183"/>
        <v>0</v>
      </c>
      <c r="W673" s="884">
        <f>W674</f>
        <v>68798493510</v>
      </c>
      <c r="X673" s="884">
        <f t="shared" si="183"/>
        <v>104139532877</v>
      </c>
      <c r="Y673" s="884">
        <f t="shared" si="183"/>
        <v>1827086968190</v>
      </c>
    </row>
    <row r="674" spans="1:25" s="512" customFormat="1" ht="15" customHeight="1">
      <c r="A674" s="967"/>
      <c r="B674" s="933" t="s">
        <v>1228</v>
      </c>
      <c r="C674" s="880"/>
      <c r="D674" s="879"/>
      <c r="E674" s="967"/>
      <c r="F674" s="891">
        <f>SUM(F675:F726)</f>
        <v>0</v>
      </c>
      <c r="G674" s="891">
        <f t="shared" ref="G674:Y674" si="184">SUM(G675:G726)</f>
        <v>1827086968190</v>
      </c>
      <c r="H674" s="891">
        <f t="shared" si="184"/>
        <v>175828181618</v>
      </c>
      <c r="I674" s="891">
        <f t="shared" si="184"/>
        <v>2890155231</v>
      </c>
      <c r="J674" s="891">
        <f t="shared" si="184"/>
        <v>68798493510</v>
      </c>
      <c r="K674" s="891">
        <f t="shared" si="184"/>
        <v>0</v>
      </c>
      <c r="L674" s="891">
        <f t="shared" si="184"/>
        <v>0</v>
      </c>
      <c r="M674" s="891">
        <f t="shared" si="184"/>
        <v>0</v>
      </c>
      <c r="N674" s="891">
        <f t="shared" si="184"/>
        <v>0</v>
      </c>
      <c r="O674" s="891">
        <f t="shared" si="184"/>
        <v>0</v>
      </c>
      <c r="P674" s="891">
        <f t="shared" si="184"/>
        <v>0</v>
      </c>
      <c r="Q674" s="891">
        <f t="shared" si="184"/>
        <v>0</v>
      </c>
      <c r="R674" s="891">
        <f t="shared" si="184"/>
        <v>0</v>
      </c>
      <c r="S674" s="891">
        <f t="shared" si="184"/>
        <v>0</v>
      </c>
      <c r="T674" s="891">
        <f t="shared" si="184"/>
        <v>0</v>
      </c>
      <c r="U674" s="891">
        <f t="shared" si="184"/>
        <v>0</v>
      </c>
      <c r="V674" s="891">
        <f t="shared" si="184"/>
        <v>0</v>
      </c>
      <c r="W674" s="891">
        <f>SUM(W675:W726)</f>
        <v>68798493510</v>
      </c>
      <c r="X674" s="891">
        <f t="shared" si="184"/>
        <v>104139532877</v>
      </c>
      <c r="Y674" s="891">
        <f t="shared" si="184"/>
        <v>1827086968190</v>
      </c>
    </row>
    <row r="675" spans="1:25" ht="24.95" customHeight="1">
      <c r="A675" s="953">
        <v>1</v>
      </c>
      <c r="B675" s="865" t="s">
        <v>1489</v>
      </c>
      <c r="C675" s="876"/>
      <c r="D675" s="870" t="s">
        <v>825</v>
      </c>
      <c r="E675" s="953">
        <v>7005924</v>
      </c>
      <c r="F675" s="862"/>
      <c r="G675" s="862">
        <v>24245534819</v>
      </c>
      <c r="H675" s="862">
        <v>72000000</v>
      </c>
      <c r="I675" s="862"/>
      <c r="J675" s="862"/>
      <c r="K675" s="862"/>
      <c r="L675" s="862"/>
      <c r="M675" s="862"/>
      <c r="N675" s="862"/>
      <c r="O675" s="862"/>
      <c r="P675" s="862"/>
      <c r="Q675" s="862"/>
      <c r="R675" s="862"/>
      <c r="S675" s="862"/>
      <c r="T675" s="862"/>
      <c r="U675" s="862"/>
      <c r="V675" s="862"/>
      <c r="W675" s="862">
        <f t="shared" ref="W675:W727" si="185">J675+M675+S675</f>
        <v>0</v>
      </c>
      <c r="X675" s="862">
        <f t="shared" ref="X675:X727" si="186">H675-I675-J675+N675+T675</f>
        <v>72000000</v>
      </c>
      <c r="Y675" s="862">
        <f t="shared" ref="Y675:Y727" si="187">G675+L675+R675</f>
        <v>24245534819</v>
      </c>
    </row>
    <row r="676" spans="1:25" ht="15" customHeight="1">
      <c r="A676" s="953">
        <v>2</v>
      </c>
      <c r="B676" s="865" t="s">
        <v>1229</v>
      </c>
      <c r="C676" s="876"/>
      <c r="D676" s="870" t="s">
        <v>825</v>
      </c>
      <c r="E676" s="863">
        <v>7005987</v>
      </c>
      <c r="F676" s="862"/>
      <c r="G676" s="862">
        <v>17226671000</v>
      </c>
      <c r="H676" s="862">
        <v>7098009000</v>
      </c>
      <c r="I676" s="862"/>
      <c r="J676" s="862">
        <v>1702309000</v>
      </c>
      <c r="K676" s="862"/>
      <c r="L676" s="862"/>
      <c r="M676" s="862"/>
      <c r="N676" s="862"/>
      <c r="O676" s="862"/>
      <c r="P676" s="862"/>
      <c r="Q676" s="862"/>
      <c r="R676" s="862"/>
      <c r="S676" s="862"/>
      <c r="T676" s="862"/>
      <c r="U676" s="862"/>
      <c r="V676" s="862"/>
      <c r="W676" s="862">
        <f t="shared" si="185"/>
        <v>1702309000</v>
      </c>
      <c r="X676" s="862">
        <f t="shared" si="186"/>
        <v>5395700000</v>
      </c>
      <c r="Y676" s="862">
        <f t="shared" si="187"/>
        <v>17226671000</v>
      </c>
    </row>
    <row r="677" spans="1:25" ht="24.95" customHeight="1">
      <c r="A677" s="953">
        <v>3</v>
      </c>
      <c r="B677" s="865" t="s">
        <v>1490</v>
      </c>
      <c r="C677" s="876"/>
      <c r="D677" s="870" t="s">
        <v>825</v>
      </c>
      <c r="E677" s="953">
        <v>7006150</v>
      </c>
      <c r="F677" s="862"/>
      <c r="G677" s="862">
        <v>9446899000</v>
      </c>
      <c r="H677" s="862">
        <v>69001700</v>
      </c>
      <c r="I677" s="862"/>
      <c r="J677" s="862"/>
      <c r="K677" s="862"/>
      <c r="L677" s="862"/>
      <c r="M677" s="862"/>
      <c r="N677" s="862"/>
      <c r="O677" s="862"/>
      <c r="P677" s="862"/>
      <c r="Q677" s="862"/>
      <c r="R677" s="862"/>
      <c r="S677" s="862"/>
      <c r="T677" s="862"/>
      <c r="U677" s="862"/>
      <c r="V677" s="862"/>
      <c r="W677" s="862">
        <f t="shared" si="185"/>
        <v>0</v>
      </c>
      <c r="X677" s="862">
        <f t="shared" si="186"/>
        <v>69001700</v>
      </c>
      <c r="Y677" s="862">
        <f t="shared" si="187"/>
        <v>9446899000</v>
      </c>
    </row>
    <row r="678" spans="1:25" ht="24.95" customHeight="1">
      <c r="A678" s="953">
        <v>4</v>
      </c>
      <c r="B678" s="865" t="s">
        <v>1491</v>
      </c>
      <c r="C678" s="876"/>
      <c r="D678" s="870" t="s">
        <v>825</v>
      </c>
      <c r="E678" s="953">
        <v>7006162</v>
      </c>
      <c r="F678" s="862"/>
      <c r="G678" s="862">
        <v>25734606000</v>
      </c>
      <c r="H678" s="862">
        <v>582210000</v>
      </c>
      <c r="I678" s="862"/>
      <c r="J678" s="862">
        <v>178000000</v>
      </c>
      <c r="K678" s="862"/>
      <c r="L678" s="862"/>
      <c r="M678" s="862"/>
      <c r="N678" s="862"/>
      <c r="O678" s="862"/>
      <c r="P678" s="862"/>
      <c r="Q678" s="862"/>
      <c r="R678" s="862"/>
      <c r="S678" s="862"/>
      <c r="T678" s="862"/>
      <c r="U678" s="862"/>
      <c r="V678" s="862"/>
      <c r="W678" s="862">
        <f t="shared" si="185"/>
        <v>178000000</v>
      </c>
      <c r="X678" s="862">
        <f t="shared" si="186"/>
        <v>404210000</v>
      </c>
      <c r="Y678" s="862">
        <f t="shared" si="187"/>
        <v>25734606000</v>
      </c>
    </row>
    <row r="679" spans="1:25" ht="24.95" customHeight="1">
      <c r="A679" s="953">
        <v>5</v>
      </c>
      <c r="B679" s="865" t="s">
        <v>1488</v>
      </c>
      <c r="C679" s="876"/>
      <c r="D679" s="870" t="s">
        <v>825</v>
      </c>
      <c r="E679" s="953">
        <v>7006177</v>
      </c>
      <c r="F679" s="862"/>
      <c r="G679" s="862">
        <v>15145352000</v>
      </c>
      <c r="H679" s="862">
        <v>78350000</v>
      </c>
      <c r="I679" s="862"/>
      <c r="J679" s="862"/>
      <c r="K679" s="862"/>
      <c r="L679" s="862"/>
      <c r="M679" s="862"/>
      <c r="N679" s="862"/>
      <c r="O679" s="862"/>
      <c r="P679" s="862"/>
      <c r="Q679" s="862"/>
      <c r="R679" s="862"/>
      <c r="S679" s="862"/>
      <c r="T679" s="862"/>
      <c r="U679" s="862"/>
      <c r="V679" s="862"/>
      <c r="W679" s="862">
        <f t="shared" si="185"/>
        <v>0</v>
      </c>
      <c r="X679" s="862">
        <f t="shared" si="186"/>
        <v>78350000</v>
      </c>
      <c r="Y679" s="862">
        <f t="shared" si="187"/>
        <v>15145352000</v>
      </c>
    </row>
    <row r="680" spans="1:25" ht="24.95" customHeight="1">
      <c r="A680" s="953">
        <v>6</v>
      </c>
      <c r="B680" s="865" t="s">
        <v>1487</v>
      </c>
      <c r="C680" s="876"/>
      <c r="D680" s="870" t="s">
        <v>825</v>
      </c>
      <c r="E680" s="953">
        <v>7006224</v>
      </c>
      <c r="F680" s="862"/>
      <c r="G680" s="862">
        <v>765219000</v>
      </c>
      <c r="H680" s="862">
        <v>270602000</v>
      </c>
      <c r="I680" s="862"/>
      <c r="J680" s="862"/>
      <c r="K680" s="862"/>
      <c r="L680" s="862"/>
      <c r="M680" s="862"/>
      <c r="N680" s="862"/>
      <c r="O680" s="862"/>
      <c r="P680" s="862"/>
      <c r="Q680" s="862"/>
      <c r="R680" s="862"/>
      <c r="S680" s="862"/>
      <c r="T680" s="862"/>
      <c r="U680" s="862"/>
      <c r="V680" s="862"/>
      <c r="W680" s="862">
        <f t="shared" si="185"/>
        <v>0</v>
      </c>
      <c r="X680" s="862">
        <f t="shared" si="186"/>
        <v>270602000</v>
      </c>
      <c r="Y680" s="862">
        <f t="shared" si="187"/>
        <v>765219000</v>
      </c>
    </row>
    <row r="681" spans="1:25" ht="24.95" customHeight="1">
      <c r="A681" s="953">
        <v>7</v>
      </c>
      <c r="B681" s="865" t="s">
        <v>1230</v>
      </c>
      <c r="C681" s="876"/>
      <c r="D681" s="870" t="s">
        <v>825</v>
      </c>
      <c r="E681" s="953">
        <v>7007294</v>
      </c>
      <c r="F681" s="862"/>
      <c r="G681" s="862">
        <v>7178000000</v>
      </c>
      <c r="H681" s="862">
        <v>3376210000</v>
      </c>
      <c r="I681" s="862"/>
      <c r="J681" s="862"/>
      <c r="K681" s="862"/>
      <c r="L681" s="862"/>
      <c r="M681" s="862"/>
      <c r="N681" s="862"/>
      <c r="O681" s="862"/>
      <c r="P681" s="862"/>
      <c r="Q681" s="862"/>
      <c r="R681" s="862"/>
      <c r="S681" s="862"/>
      <c r="T681" s="862"/>
      <c r="U681" s="862"/>
      <c r="V681" s="862"/>
      <c r="W681" s="862">
        <f t="shared" si="185"/>
        <v>0</v>
      </c>
      <c r="X681" s="862">
        <f t="shared" si="186"/>
        <v>3376210000</v>
      </c>
      <c r="Y681" s="862">
        <f t="shared" si="187"/>
        <v>7178000000</v>
      </c>
    </row>
    <row r="682" spans="1:25" ht="24.95" customHeight="1">
      <c r="A682" s="953">
        <v>8</v>
      </c>
      <c r="B682" s="865" t="s">
        <v>1486</v>
      </c>
      <c r="C682" s="876"/>
      <c r="D682" s="870" t="s">
        <v>825</v>
      </c>
      <c r="E682" s="953">
        <v>7011825</v>
      </c>
      <c r="F682" s="862"/>
      <c r="G682" s="862">
        <v>24216338000</v>
      </c>
      <c r="H682" s="862">
        <v>234848000</v>
      </c>
      <c r="I682" s="862"/>
      <c r="J682" s="862"/>
      <c r="K682" s="862"/>
      <c r="L682" s="862"/>
      <c r="M682" s="862"/>
      <c r="N682" s="862"/>
      <c r="O682" s="862"/>
      <c r="P682" s="862"/>
      <c r="Q682" s="862"/>
      <c r="R682" s="862"/>
      <c r="S682" s="862"/>
      <c r="T682" s="862"/>
      <c r="U682" s="862"/>
      <c r="V682" s="862"/>
      <c r="W682" s="862">
        <f t="shared" si="185"/>
        <v>0</v>
      </c>
      <c r="X682" s="862">
        <f t="shared" si="186"/>
        <v>234848000</v>
      </c>
      <c r="Y682" s="862">
        <f t="shared" si="187"/>
        <v>24216338000</v>
      </c>
    </row>
    <row r="683" spans="1:25" ht="24.95" customHeight="1">
      <c r="A683" s="953">
        <v>9</v>
      </c>
      <c r="B683" s="865" t="s">
        <v>642</v>
      </c>
      <c r="C683" s="876"/>
      <c r="D683" s="870" t="s">
        <v>825</v>
      </c>
      <c r="E683" s="953">
        <v>7020190</v>
      </c>
      <c r="F683" s="862"/>
      <c r="G683" s="862">
        <v>1000000000</v>
      </c>
      <c r="H683" s="862">
        <v>24961350</v>
      </c>
      <c r="I683" s="862"/>
      <c r="J683" s="862"/>
      <c r="K683" s="862"/>
      <c r="L683" s="862"/>
      <c r="M683" s="862"/>
      <c r="N683" s="862"/>
      <c r="O683" s="862"/>
      <c r="P683" s="862"/>
      <c r="Q683" s="862"/>
      <c r="R683" s="862"/>
      <c r="S683" s="862"/>
      <c r="T683" s="862"/>
      <c r="U683" s="862"/>
      <c r="V683" s="862"/>
      <c r="W683" s="862">
        <f t="shared" si="185"/>
        <v>0</v>
      </c>
      <c r="X683" s="862">
        <f t="shared" si="186"/>
        <v>24961350</v>
      </c>
      <c r="Y683" s="862">
        <f t="shared" si="187"/>
        <v>1000000000</v>
      </c>
    </row>
    <row r="684" spans="1:25" ht="15" customHeight="1">
      <c r="A684" s="953">
        <v>10</v>
      </c>
      <c r="B684" s="865" t="s">
        <v>1485</v>
      </c>
      <c r="C684" s="876"/>
      <c r="D684" s="870" t="s">
        <v>825</v>
      </c>
      <c r="E684" s="953">
        <v>7027376</v>
      </c>
      <c r="F684" s="862"/>
      <c r="G684" s="862">
        <v>526860000</v>
      </c>
      <c r="H684" s="862">
        <v>147375000</v>
      </c>
      <c r="I684" s="862"/>
      <c r="J684" s="862"/>
      <c r="K684" s="862"/>
      <c r="L684" s="862"/>
      <c r="M684" s="862"/>
      <c r="N684" s="862"/>
      <c r="O684" s="862"/>
      <c r="P684" s="862"/>
      <c r="Q684" s="862"/>
      <c r="R684" s="862"/>
      <c r="S684" s="862"/>
      <c r="T684" s="862"/>
      <c r="U684" s="862"/>
      <c r="V684" s="862"/>
      <c r="W684" s="862">
        <f t="shared" si="185"/>
        <v>0</v>
      </c>
      <c r="X684" s="862">
        <f t="shared" si="186"/>
        <v>147375000</v>
      </c>
      <c r="Y684" s="862">
        <f t="shared" si="187"/>
        <v>526860000</v>
      </c>
    </row>
    <row r="685" spans="1:25" ht="24.95" customHeight="1">
      <c r="A685" s="953">
        <v>11</v>
      </c>
      <c r="B685" s="865" t="s">
        <v>1484</v>
      </c>
      <c r="C685" s="876"/>
      <c r="D685" s="870" t="s">
        <v>825</v>
      </c>
      <c r="E685" s="953">
        <v>7027387</v>
      </c>
      <c r="F685" s="862"/>
      <c r="G685" s="862">
        <v>533996000</v>
      </c>
      <c r="H685" s="862">
        <v>533996000</v>
      </c>
      <c r="I685" s="862"/>
      <c r="J685" s="862"/>
      <c r="K685" s="862"/>
      <c r="L685" s="862"/>
      <c r="M685" s="862"/>
      <c r="N685" s="862"/>
      <c r="O685" s="862"/>
      <c r="P685" s="862"/>
      <c r="Q685" s="862"/>
      <c r="R685" s="862"/>
      <c r="S685" s="862"/>
      <c r="T685" s="862"/>
      <c r="U685" s="862"/>
      <c r="V685" s="862"/>
      <c r="W685" s="862">
        <f t="shared" si="185"/>
        <v>0</v>
      </c>
      <c r="X685" s="862">
        <f t="shared" si="186"/>
        <v>533996000</v>
      </c>
      <c r="Y685" s="862">
        <f t="shared" si="187"/>
        <v>533996000</v>
      </c>
    </row>
    <row r="686" spans="1:25" ht="15" customHeight="1">
      <c r="A686" s="953">
        <v>12</v>
      </c>
      <c r="B686" s="865" t="s">
        <v>1483</v>
      </c>
      <c r="C686" s="876"/>
      <c r="D686" s="870" t="s">
        <v>825</v>
      </c>
      <c r="E686" s="953">
        <v>7027423</v>
      </c>
      <c r="F686" s="862"/>
      <c r="G686" s="862">
        <v>3387228700</v>
      </c>
      <c r="H686" s="862">
        <v>3387228700</v>
      </c>
      <c r="I686" s="862"/>
      <c r="J686" s="862"/>
      <c r="K686" s="862"/>
      <c r="L686" s="862"/>
      <c r="M686" s="862"/>
      <c r="N686" s="862"/>
      <c r="O686" s="862"/>
      <c r="P686" s="862"/>
      <c r="Q686" s="862"/>
      <c r="R686" s="862"/>
      <c r="S686" s="862"/>
      <c r="T686" s="862"/>
      <c r="U686" s="862"/>
      <c r="V686" s="862"/>
      <c r="W686" s="862">
        <f t="shared" si="185"/>
        <v>0</v>
      </c>
      <c r="X686" s="862">
        <f t="shared" si="186"/>
        <v>3387228700</v>
      </c>
      <c r="Y686" s="862">
        <f t="shared" si="187"/>
        <v>3387228700</v>
      </c>
    </row>
    <row r="687" spans="1:25" ht="32.1" customHeight="1">
      <c r="A687" s="953">
        <v>13</v>
      </c>
      <c r="B687" s="865" t="s">
        <v>1231</v>
      </c>
      <c r="C687" s="876"/>
      <c r="D687" s="870" t="s">
        <v>825</v>
      </c>
      <c r="E687" s="863">
        <v>7027429</v>
      </c>
      <c r="F687" s="862"/>
      <c r="G687" s="862">
        <v>36337296560</v>
      </c>
      <c r="H687" s="862">
        <v>17545287560</v>
      </c>
      <c r="I687" s="862"/>
      <c r="J687" s="862">
        <v>15371000000</v>
      </c>
      <c r="K687" s="862"/>
      <c r="L687" s="862"/>
      <c r="M687" s="862"/>
      <c r="N687" s="862"/>
      <c r="O687" s="862"/>
      <c r="P687" s="862"/>
      <c r="Q687" s="862"/>
      <c r="R687" s="862"/>
      <c r="S687" s="862"/>
      <c r="T687" s="862"/>
      <c r="U687" s="862"/>
      <c r="V687" s="862"/>
      <c r="W687" s="862">
        <f t="shared" si="185"/>
        <v>15371000000</v>
      </c>
      <c r="X687" s="862">
        <f t="shared" si="186"/>
        <v>2174287560</v>
      </c>
      <c r="Y687" s="862">
        <f t="shared" si="187"/>
        <v>36337296560</v>
      </c>
    </row>
    <row r="688" spans="1:25" ht="32.1" customHeight="1">
      <c r="A688" s="953">
        <v>14</v>
      </c>
      <c r="B688" s="865" t="s">
        <v>1482</v>
      </c>
      <c r="C688" s="876"/>
      <c r="D688" s="870" t="s">
        <v>825</v>
      </c>
      <c r="E688" s="953">
        <v>7027448</v>
      </c>
      <c r="F688" s="862"/>
      <c r="G688" s="862">
        <v>751402000</v>
      </c>
      <c r="H688" s="862">
        <v>254110000</v>
      </c>
      <c r="I688" s="862"/>
      <c r="J688" s="862"/>
      <c r="K688" s="862"/>
      <c r="L688" s="862"/>
      <c r="M688" s="862"/>
      <c r="N688" s="862"/>
      <c r="O688" s="862"/>
      <c r="P688" s="862"/>
      <c r="Q688" s="862"/>
      <c r="R688" s="862"/>
      <c r="S688" s="862"/>
      <c r="T688" s="862"/>
      <c r="U688" s="862"/>
      <c r="V688" s="862"/>
      <c r="W688" s="862">
        <f t="shared" si="185"/>
        <v>0</v>
      </c>
      <c r="X688" s="862">
        <f t="shared" si="186"/>
        <v>254110000</v>
      </c>
      <c r="Y688" s="862">
        <f t="shared" si="187"/>
        <v>751402000</v>
      </c>
    </row>
    <row r="689" spans="1:25" ht="32.1" customHeight="1">
      <c r="A689" s="953">
        <v>15</v>
      </c>
      <c r="B689" s="865" t="s">
        <v>1232</v>
      </c>
      <c r="C689" s="876"/>
      <c r="D689" s="870" t="s">
        <v>825</v>
      </c>
      <c r="E689" s="961">
        <v>7027480</v>
      </c>
      <c r="F689" s="862"/>
      <c r="G689" s="862">
        <v>28901721000</v>
      </c>
      <c r="H689" s="862">
        <v>7980320000</v>
      </c>
      <c r="I689" s="862">
        <v>0</v>
      </c>
      <c r="J689" s="862">
        <v>4010472293</v>
      </c>
      <c r="K689" s="862"/>
      <c r="L689" s="862"/>
      <c r="M689" s="862"/>
      <c r="N689" s="862"/>
      <c r="O689" s="862"/>
      <c r="P689" s="862"/>
      <c r="Q689" s="862"/>
      <c r="R689" s="862"/>
      <c r="S689" s="862"/>
      <c r="T689" s="862"/>
      <c r="U689" s="862"/>
      <c r="V689" s="862"/>
      <c r="W689" s="862">
        <f t="shared" si="185"/>
        <v>4010472293</v>
      </c>
      <c r="X689" s="862">
        <f t="shared" si="186"/>
        <v>3969847707</v>
      </c>
      <c r="Y689" s="862">
        <f t="shared" si="187"/>
        <v>28901721000</v>
      </c>
    </row>
    <row r="690" spans="1:25" ht="24.95" customHeight="1">
      <c r="A690" s="953">
        <v>16</v>
      </c>
      <c r="B690" s="865" t="s">
        <v>1233</v>
      </c>
      <c r="C690" s="876"/>
      <c r="D690" s="870" t="s">
        <v>825</v>
      </c>
      <c r="E690" s="953">
        <v>7027505</v>
      </c>
      <c r="F690" s="862"/>
      <c r="G690" s="862">
        <v>50837062000</v>
      </c>
      <c r="H690" s="862">
        <v>111000000</v>
      </c>
      <c r="I690" s="862"/>
      <c r="J690" s="862"/>
      <c r="K690" s="862"/>
      <c r="L690" s="862"/>
      <c r="M690" s="862"/>
      <c r="N690" s="862"/>
      <c r="O690" s="862"/>
      <c r="P690" s="862"/>
      <c r="Q690" s="862"/>
      <c r="R690" s="862"/>
      <c r="S690" s="862"/>
      <c r="T690" s="862"/>
      <c r="U690" s="862"/>
      <c r="V690" s="862"/>
      <c r="W690" s="862">
        <f t="shared" si="185"/>
        <v>0</v>
      </c>
      <c r="X690" s="862">
        <f t="shared" si="186"/>
        <v>111000000</v>
      </c>
      <c r="Y690" s="862">
        <f t="shared" si="187"/>
        <v>50837062000</v>
      </c>
    </row>
    <row r="691" spans="1:25" ht="32.1" customHeight="1">
      <c r="A691" s="953">
        <v>17</v>
      </c>
      <c r="B691" s="865" t="s">
        <v>1234</v>
      </c>
      <c r="C691" s="876"/>
      <c r="D691" s="870" t="s">
        <v>825</v>
      </c>
      <c r="E691" s="953">
        <v>7027546</v>
      </c>
      <c r="F691" s="862"/>
      <c r="G691" s="862">
        <v>762102000</v>
      </c>
      <c r="H691" s="862">
        <v>232500000</v>
      </c>
      <c r="I691" s="862"/>
      <c r="J691" s="862"/>
      <c r="K691" s="862"/>
      <c r="L691" s="862"/>
      <c r="M691" s="862"/>
      <c r="N691" s="862"/>
      <c r="O691" s="862"/>
      <c r="P691" s="862"/>
      <c r="Q691" s="862"/>
      <c r="R691" s="862"/>
      <c r="S691" s="862"/>
      <c r="T691" s="862"/>
      <c r="U691" s="862"/>
      <c r="V691" s="862"/>
      <c r="W691" s="862">
        <f t="shared" si="185"/>
        <v>0</v>
      </c>
      <c r="X691" s="862">
        <f t="shared" si="186"/>
        <v>232500000</v>
      </c>
      <c r="Y691" s="862">
        <f t="shared" si="187"/>
        <v>762102000</v>
      </c>
    </row>
    <row r="692" spans="1:25" ht="32.1" customHeight="1">
      <c r="A692" s="953">
        <v>18</v>
      </c>
      <c r="B692" s="865" t="s">
        <v>1235</v>
      </c>
      <c r="C692" s="876"/>
      <c r="D692" s="870" t="s">
        <v>825</v>
      </c>
      <c r="E692" s="953">
        <v>7027862</v>
      </c>
      <c r="F692" s="862"/>
      <c r="G692" s="862">
        <v>350000000</v>
      </c>
      <c r="H692" s="862">
        <v>282653000</v>
      </c>
      <c r="I692" s="862"/>
      <c r="J692" s="862"/>
      <c r="K692" s="862"/>
      <c r="L692" s="862"/>
      <c r="M692" s="862"/>
      <c r="N692" s="862"/>
      <c r="O692" s="862"/>
      <c r="P692" s="862"/>
      <c r="Q692" s="862"/>
      <c r="R692" s="862"/>
      <c r="S692" s="862"/>
      <c r="T692" s="862"/>
      <c r="U692" s="862"/>
      <c r="V692" s="862"/>
      <c r="W692" s="862">
        <f t="shared" si="185"/>
        <v>0</v>
      </c>
      <c r="X692" s="862">
        <f t="shared" si="186"/>
        <v>282653000</v>
      </c>
      <c r="Y692" s="862">
        <f t="shared" si="187"/>
        <v>350000000</v>
      </c>
    </row>
    <row r="693" spans="1:25" ht="32.1" customHeight="1">
      <c r="A693" s="953">
        <v>19</v>
      </c>
      <c r="B693" s="865" t="s">
        <v>25</v>
      </c>
      <c r="C693" s="876"/>
      <c r="D693" s="870" t="s">
        <v>825</v>
      </c>
      <c r="E693" s="863">
        <v>7047679</v>
      </c>
      <c r="F693" s="862"/>
      <c r="G693" s="862">
        <v>74751661282</v>
      </c>
      <c r="H693" s="862">
        <v>20000000</v>
      </c>
      <c r="I693" s="862"/>
      <c r="J693" s="862"/>
      <c r="K693" s="862"/>
      <c r="L693" s="862"/>
      <c r="M693" s="862"/>
      <c r="N693" s="862"/>
      <c r="O693" s="862"/>
      <c r="P693" s="862"/>
      <c r="Q693" s="862"/>
      <c r="R693" s="862"/>
      <c r="S693" s="862"/>
      <c r="T693" s="862"/>
      <c r="U693" s="862"/>
      <c r="V693" s="862"/>
      <c r="W693" s="862">
        <f t="shared" si="185"/>
        <v>0</v>
      </c>
      <c r="X693" s="862">
        <f t="shared" si="186"/>
        <v>20000000</v>
      </c>
      <c r="Y693" s="862">
        <f t="shared" si="187"/>
        <v>74751661282</v>
      </c>
    </row>
    <row r="694" spans="1:25" ht="32.1" customHeight="1">
      <c r="A694" s="953">
        <v>20</v>
      </c>
      <c r="B694" s="865" t="s">
        <v>643</v>
      </c>
      <c r="C694" s="876"/>
      <c r="D694" s="870" t="s">
        <v>825</v>
      </c>
      <c r="E694" s="863">
        <v>7047775</v>
      </c>
      <c r="F694" s="862"/>
      <c r="G694" s="862">
        <v>25856144882</v>
      </c>
      <c r="H694" s="862">
        <v>464015076</v>
      </c>
      <c r="I694" s="862"/>
      <c r="J694" s="862"/>
      <c r="K694" s="862"/>
      <c r="L694" s="862"/>
      <c r="M694" s="862"/>
      <c r="N694" s="862"/>
      <c r="O694" s="862"/>
      <c r="P694" s="862"/>
      <c r="Q694" s="862"/>
      <c r="R694" s="862"/>
      <c r="S694" s="862"/>
      <c r="T694" s="862"/>
      <c r="U694" s="862"/>
      <c r="V694" s="862"/>
      <c r="W694" s="862">
        <f t="shared" si="185"/>
        <v>0</v>
      </c>
      <c r="X694" s="862">
        <f t="shared" si="186"/>
        <v>464015076</v>
      </c>
      <c r="Y694" s="862">
        <f t="shared" si="187"/>
        <v>25856144882</v>
      </c>
    </row>
    <row r="695" spans="1:25" ht="24.95" customHeight="1">
      <c r="A695" s="953">
        <v>21</v>
      </c>
      <c r="B695" s="865" t="s">
        <v>1481</v>
      </c>
      <c r="C695" s="876"/>
      <c r="D695" s="870" t="s">
        <v>825</v>
      </c>
      <c r="E695" s="953">
        <v>7060100</v>
      </c>
      <c r="F695" s="862"/>
      <c r="G695" s="862">
        <v>27000000</v>
      </c>
      <c r="H695" s="862">
        <v>27000000</v>
      </c>
      <c r="I695" s="862"/>
      <c r="J695" s="862"/>
      <c r="K695" s="862"/>
      <c r="L695" s="862"/>
      <c r="M695" s="862"/>
      <c r="N695" s="862"/>
      <c r="O695" s="862"/>
      <c r="P695" s="862"/>
      <c r="Q695" s="862"/>
      <c r="R695" s="862"/>
      <c r="S695" s="862"/>
      <c r="T695" s="862"/>
      <c r="U695" s="862"/>
      <c r="V695" s="862"/>
      <c r="W695" s="862">
        <f t="shared" si="185"/>
        <v>0</v>
      </c>
      <c r="X695" s="862">
        <f t="shared" si="186"/>
        <v>27000000</v>
      </c>
      <c r="Y695" s="862">
        <f t="shared" si="187"/>
        <v>27000000</v>
      </c>
    </row>
    <row r="696" spans="1:25" ht="15" customHeight="1">
      <c r="A696" s="953">
        <v>22</v>
      </c>
      <c r="B696" s="865" t="s">
        <v>638</v>
      </c>
      <c r="C696" s="876"/>
      <c r="D696" s="870" t="s">
        <v>825</v>
      </c>
      <c r="E696" s="898">
        <v>7070714</v>
      </c>
      <c r="F696" s="862"/>
      <c r="G696" s="862">
        <v>78991966000</v>
      </c>
      <c r="H696" s="862">
        <v>30000000</v>
      </c>
      <c r="I696" s="862"/>
      <c r="J696" s="862"/>
      <c r="K696" s="862"/>
      <c r="L696" s="862"/>
      <c r="M696" s="862"/>
      <c r="N696" s="862"/>
      <c r="O696" s="862"/>
      <c r="P696" s="862"/>
      <c r="Q696" s="862"/>
      <c r="R696" s="862"/>
      <c r="S696" s="862"/>
      <c r="T696" s="862"/>
      <c r="U696" s="862"/>
      <c r="V696" s="862"/>
      <c r="W696" s="862">
        <f t="shared" si="185"/>
        <v>0</v>
      </c>
      <c r="X696" s="862">
        <f t="shared" si="186"/>
        <v>30000000</v>
      </c>
      <c r="Y696" s="862">
        <f t="shared" si="187"/>
        <v>78991966000</v>
      </c>
    </row>
    <row r="697" spans="1:25" ht="24.95" customHeight="1">
      <c r="A697" s="953">
        <v>23</v>
      </c>
      <c r="B697" s="865" t="s">
        <v>1480</v>
      </c>
      <c r="C697" s="876"/>
      <c r="D697" s="870" t="s">
        <v>825</v>
      </c>
      <c r="E697" s="953">
        <v>7072606</v>
      </c>
      <c r="F697" s="862"/>
      <c r="G697" s="862">
        <v>1821455000</v>
      </c>
      <c r="H697" s="862">
        <v>813000000</v>
      </c>
      <c r="I697" s="862">
        <v>50000000</v>
      </c>
      <c r="J697" s="862"/>
      <c r="K697" s="862"/>
      <c r="L697" s="862"/>
      <c r="M697" s="862"/>
      <c r="N697" s="862"/>
      <c r="O697" s="862"/>
      <c r="P697" s="862"/>
      <c r="Q697" s="862"/>
      <c r="R697" s="862"/>
      <c r="S697" s="862"/>
      <c r="T697" s="862"/>
      <c r="U697" s="862"/>
      <c r="V697" s="862"/>
      <c r="W697" s="862">
        <f t="shared" si="185"/>
        <v>0</v>
      </c>
      <c r="X697" s="862">
        <f t="shared" si="186"/>
        <v>763000000</v>
      </c>
      <c r="Y697" s="862">
        <f t="shared" si="187"/>
        <v>1821455000</v>
      </c>
    </row>
    <row r="698" spans="1:25" ht="24.95" customHeight="1">
      <c r="A698" s="953">
        <v>24</v>
      </c>
      <c r="B698" s="865" t="s">
        <v>1155</v>
      </c>
      <c r="C698" s="876"/>
      <c r="D698" s="870" t="s">
        <v>825</v>
      </c>
      <c r="E698" s="953">
        <v>7075202</v>
      </c>
      <c r="F698" s="862"/>
      <c r="G698" s="862">
        <v>2305255000</v>
      </c>
      <c r="H698" s="862">
        <v>128000000</v>
      </c>
      <c r="I698" s="862"/>
      <c r="J698" s="862"/>
      <c r="K698" s="862"/>
      <c r="L698" s="862"/>
      <c r="M698" s="862"/>
      <c r="N698" s="862"/>
      <c r="O698" s="862"/>
      <c r="P698" s="862"/>
      <c r="Q698" s="862"/>
      <c r="R698" s="862"/>
      <c r="S698" s="862"/>
      <c r="T698" s="862"/>
      <c r="U698" s="862"/>
      <c r="V698" s="862"/>
      <c r="W698" s="862">
        <f t="shared" si="185"/>
        <v>0</v>
      </c>
      <c r="X698" s="862">
        <f t="shared" si="186"/>
        <v>128000000</v>
      </c>
      <c r="Y698" s="862">
        <f t="shared" si="187"/>
        <v>2305255000</v>
      </c>
    </row>
    <row r="699" spans="1:25" ht="24.95" customHeight="1">
      <c r="A699" s="953">
        <v>25</v>
      </c>
      <c r="B699" s="865" t="s">
        <v>1479</v>
      </c>
      <c r="C699" s="876"/>
      <c r="D699" s="870" t="s">
        <v>825</v>
      </c>
      <c r="E699" s="953">
        <v>7099087</v>
      </c>
      <c r="F699" s="862"/>
      <c r="G699" s="862">
        <v>1431400000</v>
      </c>
      <c r="H699" s="862">
        <v>2470080</v>
      </c>
      <c r="I699" s="862"/>
      <c r="J699" s="862"/>
      <c r="K699" s="862"/>
      <c r="L699" s="862"/>
      <c r="M699" s="862"/>
      <c r="N699" s="862"/>
      <c r="O699" s="862"/>
      <c r="P699" s="862"/>
      <c r="Q699" s="862"/>
      <c r="R699" s="862"/>
      <c r="S699" s="862"/>
      <c r="T699" s="862"/>
      <c r="U699" s="862"/>
      <c r="V699" s="862"/>
      <c r="W699" s="862">
        <f t="shared" si="185"/>
        <v>0</v>
      </c>
      <c r="X699" s="862">
        <f t="shared" si="186"/>
        <v>2470080</v>
      </c>
      <c r="Y699" s="862">
        <f t="shared" si="187"/>
        <v>1431400000</v>
      </c>
    </row>
    <row r="700" spans="1:25" ht="32.1" customHeight="1">
      <c r="A700" s="953">
        <v>26</v>
      </c>
      <c r="B700" s="899" t="s">
        <v>1236</v>
      </c>
      <c r="C700" s="876"/>
      <c r="D700" s="870" t="s">
        <v>825</v>
      </c>
      <c r="E700" s="898">
        <v>7148575</v>
      </c>
      <c r="F700" s="862"/>
      <c r="G700" s="862">
        <v>118042309145</v>
      </c>
      <c r="H700" s="862">
        <v>1392609990</v>
      </c>
      <c r="I700" s="862"/>
      <c r="J700" s="862">
        <v>1144388862</v>
      </c>
      <c r="K700" s="862"/>
      <c r="L700" s="862"/>
      <c r="M700" s="862"/>
      <c r="N700" s="862"/>
      <c r="O700" s="862"/>
      <c r="P700" s="862"/>
      <c r="Q700" s="862"/>
      <c r="R700" s="862"/>
      <c r="S700" s="862"/>
      <c r="T700" s="862"/>
      <c r="U700" s="862"/>
      <c r="V700" s="862"/>
      <c r="W700" s="862">
        <f t="shared" si="185"/>
        <v>1144388862</v>
      </c>
      <c r="X700" s="862">
        <f t="shared" si="186"/>
        <v>248221128</v>
      </c>
      <c r="Y700" s="862">
        <f t="shared" si="187"/>
        <v>118042309145</v>
      </c>
    </row>
    <row r="701" spans="1:25" ht="24.95" customHeight="1">
      <c r="A701" s="953">
        <v>27</v>
      </c>
      <c r="B701" s="865" t="s">
        <v>1478</v>
      </c>
      <c r="C701" s="876"/>
      <c r="D701" s="870" t="s">
        <v>825</v>
      </c>
      <c r="E701" s="953">
        <v>7153147</v>
      </c>
      <c r="F701" s="862"/>
      <c r="G701" s="862">
        <v>24433823000</v>
      </c>
      <c r="H701" s="862">
        <v>58607000</v>
      </c>
      <c r="I701" s="862">
        <v>58607000</v>
      </c>
      <c r="J701" s="862"/>
      <c r="K701" s="862"/>
      <c r="L701" s="862"/>
      <c r="M701" s="862"/>
      <c r="N701" s="862"/>
      <c r="O701" s="862"/>
      <c r="P701" s="862"/>
      <c r="Q701" s="862"/>
      <c r="R701" s="862"/>
      <c r="S701" s="862"/>
      <c r="T701" s="862"/>
      <c r="U701" s="862"/>
      <c r="V701" s="862"/>
      <c r="W701" s="862">
        <f t="shared" si="185"/>
        <v>0</v>
      </c>
      <c r="X701" s="862">
        <f t="shared" si="186"/>
        <v>0</v>
      </c>
      <c r="Y701" s="862">
        <f t="shared" si="187"/>
        <v>24433823000</v>
      </c>
    </row>
    <row r="702" spans="1:25" ht="24.95" customHeight="1">
      <c r="A702" s="953">
        <v>28</v>
      </c>
      <c r="B702" s="944" t="s">
        <v>1237</v>
      </c>
      <c r="C702" s="876"/>
      <c r="D702" s="870" t="s">
        <v>825</v>
      </c>
      <c r="E702" s="863">
        <v>7189107</v>
      </c>
      <c r="F702" s="862"/>
      <c r="G702" s="862">
        <v>350608321000</v>
      </c>
      <c r="H702" s="862">
        <v>57522661309</v>
      </c>
      <c r="I702" s="862">
        <v>0</v>
      </c>
      <c r="J702" s="862">
        <v>18115567000</v>
      </c>
      <c r="K702" s="862"/>
      <c r="L702" s="862"/>
      <c r="M702" s="862"/>
      <c r="N702" s="862"/>
      <c r="O702" s="862"/>
      <c r="P702" s="862"/>
      <c r="Q702" s="862"/>
      <c r="R702" s="862"/>
      <c r="S702" s="862"/>
      <c r="T702" s="862"/>
      <c r="U702" s="862"/>
      <c r="V702" s="862"/>
      <c r="W702" s="862">
        <f t="shared" si="185"/>
        <v>18115567000</v>
      </c>
      <c r="X702" s="862">
        <f t="shared" si="186"/>
        <v>39407094309</v>
      </c>
      <c r="Y702" s="862">
        <f t="shared" si="187"/>
        <v>350608321000</v>
      </c>
    </row>
    <row r="703" spans="1:25" ht="15" customHeight="1">
      <c r="A703" s="953">
        <v>29</v>
      </c>
      <c r="B703" s="865" t="s">
        <v>1238</v>
      </c>
      <c r="C703" s="876"/>
      <c r="D703" s="870" t="s">
        <v>825</v>
      </c>
      <c r="E703" s="863">
        <v>7230246</v>
      </c>
      <c r="F703" s="862"/>
      <c r="G703" s="862">
        <v>9390807000</v>
      </c>
      <c r="H703" s="862">
        <v>500000000</v>
      </c>
      <c r="I703" s="862"/>
      <c r="J703" s="862"/>
      <c r="K703" s="862"/>
      <c r="L703" s="862"/>
      <c r="M703" s="862"/>
      <c r="N703" s="862"/>
      <c r="O703" s="862"/>
      <c r="P703" s="862"/>
      <c r="Q703" s="862"/>
      <c r="R703" s="862"/>
      <c r="S703" s="862"/>
      <c r="T703" s="862"/>
      <c r="U703" s="862"/>
      <c r="V703" s="862"/>
      <c r="W703" s="862">
        <f t="shared" si="185"/>
        <v>0</v>
      </c>
      <c r="X703" s="862">
        <f t="shared" si="186"/>
        <v>500000000</v>
      </c>
      <c r="Y703" s="862">
        <f t="shared" si="187"/>
        <v>9390807000</v>
      </c>
    </row>
    <row r="704" spans="1:25" ht="24.95" customHeight="1">
      <c r="A704" s="953">
        <v>30</v>
      </c>
      <c r="B704" s="865" t="s">
        <v>1239</v>
      </c>
      <c r="C704" s="876"/>
      <c r="D704" s="870" t="s">
        <v>825</v>
      </c>
      <c r="E704" s="863">
        <v>7235549</v>
      </c>
      <c r="F704" s="862"/>
      <c r="G704" s="862">
        <v>14844621500</v>
      </c>
      <c r="H704" s="862">
        <v>328947000</v>
      </c>
      <c r="I704" s="862"/>
      <c r="J704" s="862"/>
      <c r="K704" s="862"/>
      <c r="L704" s="862"/>
      <c r="M704" s="862"/>
      <c r="N704" s="862"/>
      <c r="O704" s="862"/>
      <c r="P704" s="862"/>
      <c r="Q704" s="862"/>
      <c r="R704" s="862"/>
      <c r="S704" s="862"/>
      <c r="T704" s="862"/>
      <c r="U704" s="862"/>
      <c r="V704" s="862"/>
      <c r="W704" s="862">
        <f t="shared" si="185"/>
        <v>0</v>
      </c>
      <c r="X704" s="862">
        <f t="shared" si="186"/>
        <v>328947000</v>
      </c>
      <c r="Y704" s="862">
        <f t="shared" si="187"/>
        <v>14844621500</v>
      </c>
    </row>
    <row r="705" spans="1:25" ht="42" customHeight="1">
      <c r="A705" s="953">
        <v>31</v>
      </c>
      <c r="B705" s="865" t="s">
        <v>1240</v>
      </c>
      <c r="C705" s="876"/>
      <c r="D705" s="870" t="s">
        <v>825</v>
      </c>
      <c r="E705" s="863">
        <v>7238158</v>
      </c>
      <c r="F705" s="862"/>
      <c r="G705" s="862">
        <v>34435637000</v>
      </c>
      <c r="H705" s="862">
        <v>3000000</v>
      </c>
      <c r="I705" s="862"/>
      <c r="J705" s="862"/>
      <c r="K705" s="862"/>
      <c r="L705" s="862"/>
      <c r="M705" s="862"/>
      <c r="N705" s="862"/>
      <c r="O705" s="862"/>
      <c r="P705" s="862"/>
      <c r="Q705" s="862"/>
      <c r="R705" s="862"/>
      <c r="S705" s="862"/>
      <c r="T705" s="862"/>
      <c r="U705" s="862"/>
      <c r="V705" s="862"/>
      <c r="W705" s="862">
        <f t="shared" si="185"/>
        <v>0</v>
      </c>
      <c r="X705" s="862">
        <f t="shared" si="186"/>
        <v>3000000</v>
      </c>
      <c r="Y705" s="862">
        <f t="shared" si="187"/>
        <v>34435637000</v>
      </c>
    </row>
    <row r="706" spans="1:25" ht="32.1" customHeight="1">
      <c r="A706" s="953">
        <v>32</v>
      </c>
      <c r="B706" s="865" t="s">
        <v>1581</v>
      </c>
      <c r="C706" s="876"/>
      <c r="D706" s="870" t="s">
        <v>825</v>
      </c>
      <c r="E706" s="898">
        <v>7249001</v>
      </c>
      <c r="F706" s="862"/>
      <c r="G706" s="862">
        <v>65578047930</v>
      </c>
      <c r="H706" s="862">
        <v>5180526208</v>
      </c>
      <c r="I706" s="862">
        <v>0</v>
      </c>
      <c r="J706" s="862">
        <v>3356884470</v>
      </c>
      <c r="K706" s="862"/>
      <c r="L706" s="862"/>
      <c r="M706" s="862"/>
      <c r="N706" s="862"/>
      <c r="O706" s="862"/>
      <c r="P706" s="862"/>
      <c r="Q706" s="862"/>
      <c r="R706" s="862"/>
      <c r="S706" s="862"/>
      <c r="T706" s="862"/>
      <c r="U706" s="862"/>
      <c r="V706" s="862"/>
      <c r="W706" s="862">
        <f t="shared" si="185"/>
        <v>3356884470</v>
      </c>
      <c r="X706" s="862">
        <f t="shared" si="186"/>
        <v>1823641738</v>
      </c>
      <c r="Y706" s="862">
        <f t="shared" si="187"/>
        <v>65578047930</v>
      </c>
    </row>
    <row r="707" spans="1:25" ht="32.1" customHeight="1">
      <c r="A707" s="953">
        <v>33</v>
      </c>
      <c r="B707" s="865" t="s">
        <v>1582</v>
      </c>
      <c r="C707" s="876"/>
      <c r="D707" s="870" t="s">
        <v>825</v>
      </c>
      <c r="E707" s="898">
        <v>7249003</v>
      </c>
      <c r="F707" s="862"/>
      <c r="G707" s="862">
        <v>196291055029</v>
      </c>
      <c r="H707" s="862">
        <v>3586049324</v>
      </c>
      <c r="I707" s="862">
        <v>0</v>
      </c>
      <c r="J707" s="862">
        <v>3586049324</v>
      </c>
      <c r="K707" s="862"/>
      <c r="L707" s="862"/>
      <c r="M707" s="862"/>
      <c r="N707" s="862"/>
      <c r="O707" s="862"/>
      <c r="P707" s="862"/>
      <c r="Q707" s="862"/>
      <c r="R707" s="862"/>
      <c r="S707" s="862"/>
      <c r="T707" s="862"/>
      <c r="U707" s="862"/>
      <c r="V707" s="862"/>
      <c r="W707" s="862">
        <f t="shared" si="185"/>
        <v>3586049324</v>
      </c>
      <c r="X707" s="862">
        <f t="shared" si="186"/>
        <v>0</v>
      </c>
      <c r="Y707" s="862">
        <f t="shared" si="187"/>
        <v>196291055029</v>
      </c>
    </row>
    <row r="708" spans="1:25" ht="27.75" customHeight="1">
      <c r="A708" s="953">
        <v>34</v>
      </c>
      <c r="B708" s="944" t="s">
        <v>1241</v>
      </c>
      <c r="C708" s="876"/>
      <c r="D708" s="870" t="s">
        <v>825</v>
      </c>
      <c r="E708" s="961">
        <v>7251828</v>
      </c>
      <c r="F708" s="862"/>
      <c r="G708" s="862">
        <v>8579419482</v>
      </c>
      <c r="H708" s="862">
        <v>143079246</v>
      </c>
      <c r="I708" s="862"/>
      <c r="J708" s="862"/>
      <c r="K708" s="862"/>
      <c r="L708" s="862"/>
      <c r="M708" s="862"/>
      <c r="N708" s="862"/>
      <c r="O708" s="862"/>
      <c r="P708" s="862"/>
      <c r="Q708" s="862"/>
      <c r="R708" s="862"/>
      <c r="S708" s="862"/>
      <c r="T708" s="862"/>
      <c r="U708" s="862"/>
      <c r="V708" s="862"/>
      <c r="W708" s="862">
        <f t="shared" si="185"/>
        <v>0</v>
      </c>
      <c r="X708" s="862">
        <f t="shared" si="186"/>
        <v>143079246</v>
      </c>
      <c r="Y708" s="862">
        <f t="shared" si="187"/>
        <v>8579419482</v>
      </c>
    </row>
    <row r="709" spans="1:25" ht="25.5" customHeight="1">
      <c r="A709" s="953">
        <v>35</v>
      </c>
      <c r="B709" s="865" t="s">
        <v>1553</v>
      </c>
      <c r="C709" s="876"/>
      <c r="D709" s="870" t="s">
        <v>825</v>
      </c>
      <c r="E709" s="953">
        <v>7254353</v>
      </c>
      <c r="F709" s="862"/>
      <c r="G709" s="862">
        <v>410152000</v>
      </c>
      <c r="H709" s="862">
        <v>98000000</v>
      </c>
      <c r="I709" s="862"/>
      <c r="J709" s="862"/>
      <c r="K709" s="862"/>
      <c r="L709" s="862"/>
      <c r="M709" s="862"/>
      <c r="N709" s="862"/>
      <c r="O709" s="862"/>
      <c r="P709" s="862"/>
      <c r="Q709" s="862"/>
      <c r="R709" s="862"/>
      <c r="S709" s="862"/>
      <c r="T709" s="862"/>
      <c r="U709" s="862"/>
      <c r="V709" s="862"/>
      <c r="W709" s="862">
        <f t="shared" si="185"/>
        <v>0</v>
      </c>
      <c r="X709" s="862">
        <f t="shared" si="186"/>
        <v>98000000</v>
      </c>
      <c r="Y709" s="862">
        <f t="shared" si="187"/>
        <v>410152000</v>
      </c>
    </row>
    <row r="710" spans="1:25" ht="24.95" customHeight="1">
      <c r="A710" s="953">
        <v>36</v>
      </c>
      <c r="B710" s="865" t="s">
        <v>1242</v>
      </c>
      <c r="C710" s="876"/>
      <c r="D710" s="870" t="s">
        <v>825</v>
      </c>
      <c r="E710" s="953">
        <v>7254355</v>
      </c>
      <c r="F710" s="862"/>
      <c r="G710" s="862">
        <v>295900000</v>
      </c>
      <c r="H710" s="862">
        <v>25500000</v>
      </c>
      <c r="I710" s="862"/>
      <c r="J710" s="862"/>
      <c r="K710" s="862"/>
      <c r="L710" s="862"/>
      <c r="M710" s="862"/>
      <c r="N710" s="862"/>
      <c r="O710" s="862"/>
      <c r="P710" s="862"/>
      <c r="Q710" s="862"/>
      <c r="R710" s="862"/>
      <c r="S710" s="862"/>
      <c r="T710" s="862"/>
      <c r="U710" s="862"/>
      <c r="V710" s="862"/>
      <c r="W710" s="862">
        <f t="shared" si="185"/>
        <v>0</v>
      </c>
      <c r="X710" s="862">
        <f t="shared" si="186"/>
        <v>25500000</v>
      </c>
      <c r="Y710" s="862">
        <f t="shared" si="187"/>
        <v>295900000</v>
      </c>
    </row>
    <row r="711" spans="1:25" ht="24.95" customHeight="1">
      <c r="A711" s="953">
        <v>37</v>
      </c>
      <c r="B711" s="865" t="s">
        <v>1243</v>
      </c>
      <c r="C711" s="876"/>
      <c r="D711" s="870" t="s">
        <v>825</v>
      </c>
      <c r="E711" s="953">
        <v>7254364</v>
      </c>
      <c r="F711" s="862"/>
      <c r="G711" s="862">
        <v>195000000</v>
      </c>
      <c r="H711" s="862">
        <v>195000000</v>
      </c>
      <c r="I711" s="862">
        <v>195000000</v>
      </c>
      <c r="J711" s="862"/>
      <c r="K711" s="862"/>
      <c r="L711" s="862"/>
      <c r="M711" s="862"/>
      <c r="N711" s="862"/>
      <c r="O711" s="862"/>
      <c r="P711" s="862"/>
      <c r="Q711" s="862"/>
      <c r="R711" s="862"/>
      <c r="S711" s="862"/>
      <c r="T711" s="862"/>
      <c r="U711" s="862"/>
      <c r="V711" s="862"/>
      <c r="W711" s="862">
        <f t="shared" si="185"/>
        <v>0</v>
      </c>
      <c r="X711" s="862">
        <f t="shared" si="186"/>
        <v>0</v>
      </c>
      <c r="Y711" s="862">
        <f t="shared" si="187"/>
        <v>195000000</v>
      </c>
    </row>
    <row r="712" spans="1:25" ht="15" customHeight="1">
      <c r="A712" s="953">
        <v>38</v>
      </c>
      <c r="B712" s="865" t="s">
        <v>1244</v>
      </c>
      <c r="C712" s="876"/>
      <c r="D712" s="870" t="s">
        <v>825</v>
      </c>
      <c r="E712" s="953">
        <v>7254366</v>
      </c>
      <c r="F712" s="862"/>
      <c r="G712" s="862">
        <v>101855000</v>
      </c>
      <c r="H712" s="862">
        <v>101855000</v>
      </c>
      <c r="I712" s="862"/>
      <c r="J712" s="862"/>
      <c r="K712" s="862"/>
      <c r="L712" s="862"/>
      <c r="M712" s="862"/>
      <c r="N712" s="862"/>
      <c r="O712" s="862"/>
      <c r="P712" s="862"/>
      <c r="Q712" s="862"/>
      <c r="R712" s="862"/>
      <c r="S712" s="862"/>
      <c r="T712" s="862"/>
      <c r="U712" s="862"/>
      <c r="V712" s="862"/>
      <c r="W712" s="862">
        <f t="shared" si="185"/>
        <v>0</v>
      </c>
      <c r="X712" s="862">
        <f t="shared" si="186"/>
        <v>101855000</v>
      </c>
      <c r="Y712" s="862">
        <f t="shared" si="187"/>
        <v>101855000</v>
      </c>
    </row>
    <row r="713" spans="1:25" ht="15" customHeight="1">
      <c r="A713" s="953">
        <v>39</v>
      </c>
      <c r="B713" s="865" t="s">
        <v>1245</v>
      </c>
      <c r="C713" s="876"/>
      <c r="D713" s="870" t="s">
        <v>825</v>
      </c>
      <c r="E713" s="953">
        <v>7254373</v>
      </c>
      <c r="F713" s="862"/>
      <c r="G713" s="862">
        <v>244745000</v>
      </c>
      <c r="H713" s="862">
        <v>22990000</v>
      </c>
      <c r="I713" s="862"/>
      <c r="J713" s="862"/>
      <c r="K713" s="862"/>
      <c r="L713" s="862"/>
      <c r="M713" s="862"/>
      <c r="N713" s="862"/>
      <c r="O713" s="862"/>
      <c r="P713" s="862"/>
      <c r="Q713" s="862"/>
      <c r="R713" s="862"/>
      <c r="S713" s="862"/>
      <c r="T713" s="862"/>
      <c r="U713" s="862"/>
      <c r="V713" s="862"/>
      <c r="W713" s="862">
        <f t="shared" si="185"/>
        <v>0</v>
      </c>
      <c r="X713" s="862">
        <f t="shared" si="186"/>
        <v>22990000</v>
      </c>
      <c r="Y713" s="862">
        <f t="shared" si="187"/>
        <v>244745000</v>
      </c>
    </row>
    <row r="714" spans="1:25" ht="24.95" customHeight="1">
      <c r="A714" s="953">
        <v>40</v>
      </c>
      <c r="B714" s="865" t="s">
        <v>926</v>
      </c>
      <c r="C714" s="876"/>
      <c r="D714" s="870" t="s">
        <v>825</v>
      </c>
      <c r="E714" s="863">
        <v>7304411</v>
      </c>
      <c r="F714" s="862"/>
      <c r="G714" s="862">
        <v>575493000</v>
      </c>
      <c r="H714" s="862">
        <v>127571000</v>
      </c>
      <c r="I714" s="862"/>
      <c r="J714" s="862">
        <v>127571000</v>
      </c>
      <c r="K714" s="862"/>
      <c r="L714" s="862"/>
      <c r="M714" s="862"/>
      <c r="N714" s="862"/>
      <c r="O714" s="862"/>
      <c r="P714" s="862"/>
      <c r="Q714" s="862"/>
      <c r="R714" s="862"/>
      <c r="S714" s="862"/>
      <c r="T714" s="862"/>
      <c r="U714" s="862"/>
      <c r="V714" s="862"/>
      <c r="W714" s="862">
        <f t="shared" si="185"/>
        <v>127571000</v>
      </c>
      <c r="X714" s="862">
        <f t="shared" si="186"/>
        <v>0</v>
      </c>
      <c r="Y714" s="862">
        <f t="shared" si="187"/>
        <v>575493000</v>
      </c>
    </row>
    <row r="715" spans="1:25" ht="24.95" customHeight="1">
      <c r="A715" s="953">
        <v>41</v>
      </c>
      <c r="B715" s="865" t="s">
        <v>644</v>
      </c>
      <c r="C715" s="876"/>
      <c r="D715" s="870" t="s">
        <v>825</v>
      </c>
      <c r="E715" s="961">
        <v>7310799</v>
      </c>
      <c r="F715" s="862"/>
      <c r="G715" s="862">
        <v>187438650000</v>
      </c>
      <c r="H715" s="862">
        <v>102030000</v>
      </c>
      <c r="I715" s="862"/>
      <c r="J715" s="862">
        <v>102030000</v>
      </c>
      <c r="K715" s="862"/>
      <c r="L715" s="862"/>
      <c r="M715" s="862"/>
      <c r="N715" s="862"/>
      <c r="O715" s="862"/>
      <c r="P715" s="862"/>
      <c r="Q715" s="862"/>
      <c r="R715" s="862"/>
      <c r="S715" s="862"/>
      <c r="T715" s="862"/>
      <c r="U715" s="862"/>
      <c r="V715" s="862"/>
      <c r="W715" s="862">
        <f t="shared" si="185"/>
        <v>102030000</v>
      </c>
      <c r="X715" s="862">
        <f t="shared" si="186"/>
        <v>0</v>
      </c>
      <c r="Y715" s="862">
        <f t="shared" si="187"/>
        <v>187438650000</v>
      </c>
    </row>
    <row r="716" spans="1:25" ht="32.1" customHeight="1">
      <c r="A716" s="953">
        <v>42</v>
      </c>
      <c r="B716" s="865" t="s">
        <v>501</v>
      </c>
      <c r="C716" s="876"/>
      <c r="D716" s="870" t="s">
        <v>825</v>
      </c>
      <c r="E716" s="961">
        <v>7351084</v>
      </c>
      <c r="F716" s="862"/>
      <c r="G716" s="862">
        <v>30046779000</v>
      </c>
      <c r="H716" s="862">
        <v>131459000</v>
      </c>
      <c r="I716" s="862"/>
      <c r="J716" s="862">
        <v>131459000</v>
      </c>
      <c r="K716" s="862"/>
      <c r="L716" s="862"/>
      <c r="M716" s="862"/>
      <c r="N716" s="862"/>
      <c r="O716" s="862"/>
      <c r="P716" s="862"/>
      <c r="Q716" s="862"/>
      <c r="R716" s="862"/>
      <c r="S716" s="862"/>
      <c r="T716" s="862"/>
      <c r="U716" s="862"/>
      <c r="V716" s="862"/>
      <c r="W716" s="862">
        <f t="shared" si="185"/>
        <v>131459000</v>
      </c>
      <c r="X716" s="862">
        <f t="shared" si="186"/>
        <v>0</v>
      </c>
      <c r="Y716" s="862">
        <f t="shared" si="187"/>
        <v>30046779000</v>
      </c>
    </row>
    <row r="717" spans="1:25" ht="24.95" customHeight="1">
      <c r="A717" s="953">
        <v>43</v>
      </c>
      <c r="B717" s="865" t="s">
        <v>645</v>
      </c>
      <c r="C717" s="876"/>
      <c r="D717" s="870" t="s">
        <v>825</v>
      </c>
      <c r="E717" s="863">
        <v>7389284</v>
      </c>
      <c r="F717" s="862"/>
      <c r="G717" s="862">
        <v>5157971000</v>
      </c>
      <c r="H717" s="862">
        <v>2367905857</v>
      </c>
      <c r="I717" s="862">
        <v>2186548231</v>
      </c>
      <c r="J717" s="862"/>
      <c r="K717" s="862"/>
      <c r="L717" s="862"/>
      <c r="M717" s="862"/>
      <c r="N717" s="862"/>
      <c r="O717" s="862"/>
      <c r="P717" s="862"/>
      <c r="Q717" s="862"/>
      <c r="R717" s="862"/>
      <c r="S717" s="862"/>
      <c r="T717" s="862"/>
      <c r="U717" s="862"/>
      <c r="V717" s="862"/>
      <c r="W717" s="862">
        <f t="shared" si="185"/>
        <v>0</v>
      </c>
      <c r="X717" s="862">
        <f t="shared" si="186"/>
        <v>181357626</v>
      </c>
      <c r="Y717" s="862">
        <f t="shared" si="187"/>
        <v>5157971000</v>
      </c>
    </row>
    <row r="718" spans="1:25" ht="24.95" customHeight="1">
      <c r="A718" s="953">
        <v>44</v>
      </c>
      <c r="B718" s="865" t="s">
        <v>640</v>
      </c>
      <c r="C718" s="876"/>
      <c r="D718" s="870" t="s">
        <v>825</v>
      </c>
      <c r="E718" s="863">
        <v>7422113</v>
      </c>
      <c r="F718" s="862"/>
      <c r="G718" s="862">
        <v>50012377991</v>
      </c>
      <c r="H718" s="862">
        <v>326205000</v>
      </c>
      <c r="I718" s="862">
        <v>0</v>
      </c>
      <c r="J718" s="862">
        <v>326205000</v>
      </c>
      <c r="K718" s="862"/>
      <c r="L718" s="862"/>
      <c r="M718" s="862"/>
      <c r="N718" s="862"/>
      <c r="O718" s="862"/>
      <c r="P718" s="862"/>
      <c r="Q718" s="862"/>
      <c r="R718" s="862"/>
      <c r="S718" s="862"/>
      <c r="T718" s="862"/>
      <c r="U718" s="862"/>
      <c r="V718" s="862"/>
      <c r="W718" s="862">
        <f t="shared" si="185"/>
        <v>326205000</v>
      </c>
      <c r="X718" s="862">
        <f t="shared" si="186"/>
        <v>0</v>
      </c>
      <c r="Y718" s="862">
        <f t="shared" si="187"/>
        <v>50012377991</v>
      </c>
    </row>
    <row r="719" spans="1:25" ht="24.95" customHeight="1">
      <c r="A719" s="953">
        <v>45</v>
      </c>
      <c r="B719" s="865" t="s">
        <v>1579</v>
      </c>
      <c r="C719" s="876"/>
      <c r="D719" s="870" t="s">
        <v>825</v>
      </c>
      <c r="E719" s="863">
        <v>7457160</v>
      </c>
      <c r="F719" s="862"/>
      <c r="G719" s="862">
        <v>180399999422</v>
      </c>
      <c r="H719" s="862">
        <v>12925924640</v>
      </c>
      <c r="I719" s="862">
        <v>0</v>
      </c>
      <c r="J719" s="862">
        <f>4393839789+1712979000</f>
        <v>6106818789</v>
      </c>
      <c r="K719" s="862"/>
      <c r="L719" s="862"/>
      <c r="M719" s="862"/>
      <c r="N719" s="862"/>
      <c r="O719" s="862"/>
      <c r="P719" s="862"/>
      <c r="Q719" s="862"/>
      <c r="R719" s="862"/>
      <c r="S719" s="862"/>
      <c r="T719" s="862"/>
      <c r="U719" s="862"/>
      <c r="V719" s="862"/>
      <c r="W719" s="862">
        <f t="shared" si="185"/>
        <v>6106818789</v>
      </c>
      <c r="X719" s="862">
        <f t="shared" si="186"/>
        <v>6819105851</v>
      </c>
      <c r="Y719" s="862">
        <f t="shared" si="187"/>
        <v>180399999422</v>
      </c>
    </row>
    <row r="720" spans="1:25" ht="42" customHeight="1">
      <c r="A720" s="953">
        <v>46</v>
      </c>
      <c r="B720" s="865" t="s">
        <v>1246</v>
      </c>
      <c r="C720" s="876"/>
      <c r="D720" s="870" t="s">
        <v>825</v>
      </c>
      <c r="E720" s="863">
        <v>7498224</v>
      </c>
      <c r="F720" s="862"/>
      <c r="G720" s="862">
        <v>13927000000</v>
      </c>
      <c r="H720" s="862">
        <v>2241350825</v>
      </c>
      <c r="I720" s="862">
        <v>400000000</v>
      </c>
      <c r="J720" s="862">
        <v>1574336576</v>
      </c>
      <c r="K720" s="862"/>
      <c r="L720" s="862"/>
      <c r="M720" s="862"/>
      <c r="N720" s="862"/>
      <c r="O720" s="862"/>
      <c r="P720" s="862"/>
      <c r="Q720" s="862"/>
      <c r="R720" s="862"/>
      <c r="S720" s="862"/>
      <c r="T720" s="862"/>
      <c r="U720" s="862"/>
      <c r="V720" s="862"/>
      <c r="W720" s="862">
        <f t="shared" si="185"/>
        <v>1574336576</v>
      </c>
      <c r="X720" s="862">
        <f t="shared" si="186"/>
        <v>267014249</v>
      </c>
      <c r="Y720" s="862">
        <f t="shared" si="187"/>
        <v>13927000000</v>
      </c>
    </row>
    <row r="721" spans="1:25" ht="15" customHeight="1">
      <c r="A721" s="953">
        <v>47</v>
      </c>
      <c r="B721" s="865" t="s">
        <v>563</v>
      </c>
      <c r="C721" s="876"/>
      <c r="D721" s="870" t="s">
        <v>825</v>
      </c>
      <c r="E721" s="863">
        <v>7498318</v>
      </c>
      <c r="F721" s="862"/>
      <c r="G721" s="862">
        <v>7511290000</v>
      </c>
      <c r="H721" s="862">
        <v>1865000000</v>
      </c>
      <c r="I721" s="862"/>
      <c r="J721" s="862">
        <v>85000000</v>
      </c>
      <c r="K721" s="862"/>
      <c r="L721" s="862"/>
      <c r="M721" s="862"/>
      <c r="N721" s="862"/>
      <c r="O721" s="862"/>
      <c r="P721" s="862"/>
      <c r="Q721" s="862"/>
      <c r="R721" s="862"/>
      <c r="S721" s="862"/>
      <c r="T721" s="862"/>
      <c r="U721" s="862"/>
      <c r="V721" s="862"/>
      <c r="W721" s="862">
        <f t="shared" si="185"/>
        <v>85000000</v>
      </c>
      <c r="X721" s="862">
        <f t="shared" si="186"/>
        <v>1780000000</v>
      </c>
      <c r="Y721" s="862">
        <f t="shared" si="187"/>
        <v>7511290000</v>
      </c>
    </row>
    <row r="722" spans="1:25" ht="32.1" customHeight="1">
      <c r="A722" s="953">
        <v>48</v>
      </c>
      <c r="B722" s="865" t="s">
        <v>1247</v>
      </c>
      <c r="C722" s="876"/>
      <c r="D722" s="870" t="s">
        <v>825</v>
      </c>
      <c r="E722" s="863">
        <v>7536253</v>
      </c>
      <c r="F722" s="862"/>
      <c r="G722" s="862">
        <v>29999620500</v>
      </c>
      <c r="H722" s="862">
        <v>12647175000</v>
      </c>
      <c r="I722" s="862">
        <v>0</v>
      </c>
      <c r="J722" s="862">
        <v>5300000000</v>
      </c>
      <c r="K722" s="862"/>
      <c r="L722" s="862"/>
      <c r="M722" s="862"/>
      <c r="N722" s="862"/>
      <c r="O722" s="862"/>
      <c r="P722" s="862"/>
      <c r="Q722" s="862"/>
      <c r="R722" s="862"/>
      <c r="S722" s="862"/>
      <c r="T722" s="862"/>
      <c r="U722" s="862"/>
      <c r="V722" s="862"/>
      <c r="W722" s="862">
        <f t="shared" si="185"/>
        <v>5300000000</v>
      </c>
      <c r="X722" s="862">
        <f t="shared" si="186"/>
        <v>7347175000</v>
      </c>
      <c r="Y722" s="862">
        <f t="shared" si="187"/>
        <v>29999620500</v>
      </c>
    </row>
    <row r="723" spans="1:25" ht="24.95" customHeight="1">
      <c r="A723" s="953">
        <v>49</v>
      </c>
      <c r="B723" s="865" t="s">
        <v>1583</v>
      </c>
      <c r="C723" s="876"/>
      <c r="D723" s="870" t="s">
        <v>825</v>
      </c>
      <c r="E723" s="863">
        <v>7554504</v>
      </c>
      <c r="F723" s="862"/>
      <c r="G723" s="862">
        <v>30000000000</v>
      </c>
      <c r="H723" s="862">
        <v>11638238753</v>
      </c>
      <c r="I723" s="862"/>
      <c r="J723" s="862">
        <v>4587740196</v>
      </c>
      <c r="K723" s="862"/>
      <c r="L723" s="862"/>
      <c r="M723" s="862"/>
      <c r="N723" s="862"/>
      <c r="O723" s="862"/>
      <c r="P723" s="862"/>
      <c r="Q723" s="862"/>
      <c r="R723" s="862"/>
      <c r="S723" s="862"/>
      <c r="T723" s="862"/>
      <c r="U723" s="862"/>
      <c r="V723" s="862"/>
      <c r="W723" s="862">
        <f t="shared" si="185"/>
        <v>4587740196</v>
      </c>
      <c r="X723" s="862">
        <f t="shared" si="186"/>
        <v>7050498557</v>
      </c>
      <c r="Y723" s="862">
        <f t="shared" si="187"/>
        <v>30000000000</v>
      </c>
    </row>
    <row r="724" spans="1:25" ht="32.1" customHeight="1">
      <c r="A724" s="953">
        <v>50</v>
      </c>
      <c r="B724" s="865" t="s">
        <v>1584</v>
      </c>
      <c r="C724" s="876"/>
      <c r="D724" s="870" t="s">
        <v>825</v>
      </c>
      <c r="E724" s="863">
        <v>7560286</v>
      </c>
      <c r="F724" s="862"/>
      <c r="G724" s="862">
        <v>7370000000</v>
      </c>
      <c r="H724" s="862">
        <v>4690445000</v>
      </c>
      <c r="I724" s="862"/>
      <c r="J724" s="862">
        <v>1064666000</v>
      </c>
      <c r="K724" s="862"/>
      <c r="L724" s="862"/>
      <c r="M724" s="862"/>
      <c r="N724" s="862"/>
      <c r="O724" s="862"/>
      <c r="P724" s="862"/>
      <c r="Q724" s="862"/>
      <c r="R724" s="862"/>
      <c r="S724" s="862"/>
      <c r="T724" s="862"/>
      <c r="U724" s="862"/>
      <c r="V724" s="862"/>
      <c r="W724" s="862">
        <f t="shared" si="185"/>
        <v>1064666000</v>
      </c>
      <c r="X724" s="862">
        <f t="shared" si="186"/>
        <v>3625779000</v>
      </c>
      <c r="Y724" s="862">
        <f t="shared" si="187"/>
        <v>7370000000</v>
      </c>
    </row>
    <row r="725" spans="1:25" ht="32.1" customHeight="1">
      <c r="A725" s="953">
        <v>51</v>
      </c>
      <c r="B725" s="899" t="s">
        <v>1248</v>
      </c>
      <c r="C725" s="876"/>
      <c r="D725" s="870" t="s">
        <v>825</v>
      </c>
      <c r="E725" s="863">
        <v>7567506</v>
      </c>
      <c r="F725" s="862"/>
      <c r="G725" s="862">
        <v>18664923948</v>
      </c>
      <c r="H725" s="862">
        <v>8996479000</v>
      </c>
      <c r="I725" s="862"/>
      <c r="J725" s="862"/>
      <c r="K725" s="862"/>
      <c r="L725" s="862"/>
      <c r="M725" s="862"/>
      <c r="N725" s="862"/>
      <c r="O725" s="862"/>
      <c r="P725" s="862"/>
      <c r="Q725" s="862"/>
      <c r="R725" s="862"/>
      <c r="S725" s="862"/>
      <c r="T725" s="862"/>
      <c r="U725" s="862"/>
      <c r="V725" s="862"/>
      <c r="W725" s="862">
        <f t="shared" si="185"/>
        <v>0</v>
      </c>
      <c r="X725" s="862">
        <f t="shared" si="186"/>
        <v>8996479000</v>
      </c>
      <c r="Y725" s="862">
        <f t="shared" si="187"/>
        <v>18664923948</v>
      </c>
    </row>
    <row r="726" spans="1:25" ht="32.1" customHeight="1">
      <c r="A726" s="953">
        <v>52</v>
      </c>
      <c r="B726" s="865" t="s">
        <v>1249</v>
      </c>
      <c r="C726" s="876"/>
      <c r="D726" s="870" t="s">
        <v>825</v>
      </c>
      <c r="E726" s="863">
        <v>7578614</v>
      </c>
      <c r="F726" s="862"/>
      <c r="G726" s="862">
        <v>10000000000</v>
      </c>
      <c r="H726" s="862">
        <v>4844425000</v>
      </c>
      <c r="I726" s="862"/>
      <c r="J726" s="862">
        <v>1927996000</v>
      </c>
      <c r="K726" s="862"/>
      <c r="L726" s="862"/>
      <c r="M726" s="862"/>
      <c r="N726" s="862"/>
      <c r="O726" s="862"/>
      <c r="P726" s="862"/>
      <c r="Q726" s="862"/>
      <c r="R726" s="862"/>
      <c r="S726" s="862"/>
      <c r="T726" s="862"/>
      <c r="U726" s="862"/>
      <c r="V726" s="862"/>
      <c r="W726" s="862">
        <f t="shared" si="185"/>
        <v>1927996000</v>
      </c>
      <c r="X726" s="862">
        <f t="shared" si="186"/>
        <v>2916429000</v>
      </c>
      <c r="Y726" s="862">
        <f t="shared" si="187"/>
        <v>10000000000</v>
      </c>
    </row>
    <row r="727" spans="1:25" ht="15" customHeight="1">
      <c r="A727" s="871">
        <v>3</v>
      </c>
      <c r="B727" s="883" t="s">
        <v>811</v>
      </c>
      <c r="C727" s="875"/>
      <c r="D727" s="871"/>
      <c r="E727" s="871"/>
      <c r="F727" s="884"/>
      <c r="G727" s="884"/>
      <c r="H727" s="884"/>
      <c r="I727" s="884"/>
      <c r="J727" s="884"/>
      <c r="K727" s="884"/>
      <c r="L727" s="884"/>
      <c r="M727" s="884"/>
      <c r="N727" s="884"/>
      <c r="O727" s="884"/>
      <c r="P727" s="884"/>
      <c r="Q727" s="884"/>
      <c r="R727" s="862">
        <f t="shared" si="107"/>
        <v>0</v>
      </c>
      <c r="S727" s="884"/>
      <c r="T727" s="884"/>
      <c r="U727" s="884"/>
      <c r="V727" s="884"/>
      <c r="W727" s="862">
        <f t="shared" si="185"/>
        <v>0</v>
      </c>
      <c r="X727" s="862">
        <f t="shared" si="186"/>
        <v>0</v>
      </c>
      <c r="Y727" s="862">
        <f t="shared" si="187"/>
        <v>0</v>
      </c>
    </row>
    <row r="728" spans="1:25" ht="15" customHeight="1">
      <c r="A728" s="871">
        <v>4</v>
      </c>
      <c r="B728" s="883" t="s">
        <v>815</v>
      </c>
      <c r="C728" s="875"/>
      <c r="D728" s="871"/>
      <c r="E728" s="871"/>
      <c r="F728" s="884">
        <f>F729+F753+F759+F768</f>
        <v>5936013400000</v>
      </c>
      <c r="G728" s="884">
        <f t="shared" ref="G728:Y728" si="188">G729+G753+G759+G768</f>
        <v>4371662940774</v>
      </c>
      <c r="H728" s="884">
        <f t="shared" si="188"/>
        <v>65166076583</v>
      </c>
      <c r="I728" s="884">
        <f t="shared" si="188"/>
        <v>1274190593</v>
      </c>
      <c r="J728" s="884">
        <f t="shared" si="188"/>
        <v>44714974907</v>
      </c>
      <c r="K728" s="884">
        <f t="shared" si="188"/>
        <v>0</v>
      </c>
      <c r="L728" s="884">
        <f t="shared" si="188"/>
        <v>0</v>
      </c>
      <c r="M728" s="884">
        <f t="shared" si="188"/>
        <v>0</v>
      </c>
      <c r="N728" s="884">
        <f t="shared" si="188"/>
        <v>0</v>
      </c>
      <c r="O728" s="884">
        <f t="shared" si="188"/>
        <v>0</v>
      </c>
      <c r="P728" s="884">
        <f t="shared" si="188"/>
        <v>0</v>
      </c>
      <c r="Q728" s="884">
        <f t="shared" si="188"/>
        <v>0</v>
      </c>
      <c r="R728" s="884">
        <f t="shared" si="188"/>
        <v>0</v>
      </c>
      <c r="S728" s="884">
        <f t="shared" si="188"/>
        <v>0</v>
      </c>
      <c r="T728" s="884">
        <f t="shared" si="188"/>
        <v>0</v>
      </c>
      <c r="U728" s="884">
        <f t="shared" si="188"/>
        <v>0</v>
      </c>
      <c r="V728" s="884">
        <f t="shared" si="188"/>
        <v>0</v>
      </c>
      <c r="W728" s="884">
        <f>W729+W753+W759+W768</f>
        <v>44714974907</v>
      </c>
      <c r="X728" s="884">
        <f t="shared" si="188"/>
        <v>19176911083</v>
      </c>
      <c r="Y728" s="884">
        <f t="shared" si="188"/>
        <v>4371662940774</v>
      </c>
    </row>
    <row r="729" spans="1:25" ht="15" customHeight="1">
      <c r="A729" s="879"/>
      <c r="B729" s="968" t="s">
        <v>1250</v>
      </c>
      <c r="C729" s="880"/>
      <c r="D729" s="879"/>
      <c r="E729" s="967"/>
      <c r="F729" s="891">
        <f>SUM(F730:F752)</f>
        <v>1785227400000</v>
      </c>
      <c r="G729" s="891">
        <f t="shared" ref="G729:V729" si="189">SUM(G730:G752)</f>
        <v>1477100527728</v>
      </c>
      <c r="H729" s="891">
        <f t="shared" si="189"/>
        <v>16989724879</v>
      </c>
      <c r="I729" s="891">
        <f t="shared" si="189"/>
        <v>400777593</v>
      </c>
      <c r="J729" s="891">
        <f t="shared" si="189"/>
        <v>2728185657</v>
      </c>
      <c r="K729" s="891">
        <f t="shared" si="189"/>
        <v>0</v>
      </c>
      <c r="L729" s="891">
        <f t="shared" si="189"/>
        <v>0</v>
      </c>
      <c r="M729" s="891">
        <f t="shared" si="189"/>
        <v>0</v>
      </c>
      <c r="N729" s="891">
        <f t="shared" si="189"/>
        <v>0</v>
      </c>
      <c r="O729" s="891">
        <f t="shared" si="189"/>
        <v>0</v>
      </c>
      <c r="P729" s="891">
        <f t="shared" si="189"/>
        <v>0</v>
      </c>
      <c r="Q729" s="891">
        <f t="shared" si="189"/>
        <v>0</v>
      </c>
      <c r="R729" s="891">
        <f t="shared" si="189"/>
        <v>0</v>
      </c>
      <c r="S729" s="891">
        <f t="shared" si="189"/>
        <v>0</v>
      </c>
      <c r="T729" s="891">
        <f t="shared" si="189"/>
        <v>0</v>
      </c>
      <c r="U729" s="891">
        <f t="shared" si="189"/>
        <v>0</v>
      </c>
      <c r="V729" s="891">
        <f t="shared" si="189"/>
        <v>0</v>
      </c>
      <c r="W729" s="891">
        <f>SUM(W730:W752)</f>
        <v>2728185657</v>
      </c>
      <c r="X729" s="891">
        <f>SUM(X730:X752)</f>
        <v>13860761629</v>
      </c>
      <c r="Y729" s="891">
        <f t="shared" ref="Y729" si="190">SUM(Y730:Y752)</f>
        <v>1477100527728</v>
      </c>
    </row>
    <row r="730" spans="1:25" ht="32.1" customHeight="1">
      <c r="A730" s="973" t="s">
        <v>103</v>
      </c>
      <c r="B730" s="865" t="s">
        <v>1251</v>
      </c>
      <c r="C730" s="876"/>
      <c r="D730" s="870"/>
      <c r="E730" s="969" t="s">
        <v>1252</v>
      </c>
      <c r="F730" s="862">
        <v>109570000000</v>
      </c>
      <c r="G730" s="862">
        <v>101290917700</v>
      </c>
      <c r="H730" s="862">
        <v>27000000</v>
      </c>
      <c r="I730" s="862"/>
      <c r="J730" s="862"/>
      <c r="K730" s="862"/>
      <c r="L730" s="862"/>
      <c r="M730" s="862"/>
      <c r="N730" s="862"/>
      <c r="O730" s="862"/>
      <c r="P730" s="862"/>
      <c r="Q730" s="862"/>
      <c r="R730" s="862">
        <f t="shared" ref="R730:R787" si="191">SUM(S730:T730)</f>
        <v>0</v>
      </c>
      <c r="S730" s="862"/>
      <c r="T730" s="862"/>
      <c r="U730" s="862"/>
      <c r="V730" s="862"/>
      <c r="W730" s="862">
        <f t="shared" ref="W730:W776" si="192">J730+M730+S730</f>
        <v>0</v>
      </c>
      <c r="X730" s="862">
        <f t="shared" ref="X730:X776" si="193">H730-I730-J730+N730+T730</f>
        <v>27000000</v>
      </c>
      <c r="Y730" s="862">
        <f t="shared" ref="Y730:Y776" si="194">G730+L730+R730</f>
        <v>101290917700</v>
      </c>
    </row>
    <row r="731" spans="1:25" ht="24.95" customHeight="1">
      <c r="A731" s="973" t="s">
        <v>104</v>
      </c>
      <c r="B731" s="865" t="s">
        <v>1590</v>
      </c>
      <c r="C731" s="880"/>
      <c r="D731" s="879"/>
      <c r="E731" s="969" t="s">
        <v>600</v>
      </c>
      <c r="F731" s="862">
        <v>152614000000</v>
      </c>
      <c r="G731" s="862">
        <v>87425996000</v>
      </c>
      <c r="H731" s="886">
        <v>880512000</v>
      </c>
      <c r="I731" s="886"/>
      <c r="J731" s="886"/>
      <c r="K731" s="886"/>
      <c r="L731" s="886"/>
      <c r="M731" s="886"/>
      <c r="N731" s="886"/>
      <c r="O731" s="886"/>
      <c r="P731" s="886"/>
      <c r="Q731" s="886"/>
      <c r="R731" s="862">
        <f t="shared" si="191"/>
        <v>0</v>
      </c>
      <c r="S731" s="886"/>
      <c r="T731" s="886"/>
      <c r="U731" s="886"/>
      <c r="V731" s="886"/>
      <c r="W731" s="862">
        <f t="shared" si="192"/>
        <v>0</v>
      </c>
      <c r="X731" s="862">
        <f t="shared" si="193"/>
        <v>880512000</v>
      </c>
      <c r="Y731" s="862">
        <f t="shared" si="194"/>
        <v>87425996000</v>
      </c>
    </row>
    <row r="732" spans="1:25" ht="24.95" customHeight="1">
      <c r="A732" s="973" t="s">
        <v>105</v>
      </c>
      <c r="B732" s="865" t="s">
        <v>1253</v>
      </c>
      <c r="C732" s="876"/>
      <c r="D732" s="870"/>
      <c r="E732" s="969" t="s">
        <v>1254</v>
      </c>
      <c r="F732" s="862">
        <v>26316000000</v>
      </c>
      <c r="G732" s="862">
        <v>19498640000</v>
      </c>
      <c r="H732" s="862">
        <v>240128080</v>
      </c>
      <c r="I732" s="862"/>
      <c r="J732" s="862"/>
      <c r="K732" s="862"/>
      <c r="L732" s="862"/>
      <c r="M732" s="862"/>
      <c r="N732" s="862"/>
      <c r="O732" s="862"/>
      <c r="P732" s="862"/>
      <c r="Q732" s="862"/>
      <c r="R732" s="862">
        <f t="shared" si="191"/>
        <v>0</v>
      </c>
      <c r="S732" s="862"/>
      <c r="T732" s="862"/>
      <c r="U732" s="862"/>
      <c r="V732" s="862"/>
      <c r="W732" s="862">
        <f t="shared" si="192"/>
        <v>0</v>
      </c>
      <c r="X732" s="862">
        <f t="shared" si="193"/>
        <v>240128080</v>
      </c>
      <c r="Y732" s="862">
        <f t="shared" si="194"/>
        <v>19498640000</v>
      </c>
    </row>
    <row r="733" spans="1:25" ht="32.1" customHeight="1">
      <c r="A733" s="973" t="s">
        <v>147</v>
      </c>
      <c r="B733" s="865" t="s">
        <v>1255</v>
      </c>
      <c r="C733" s="876"/>
      <c r="D733" s="870"/>
      <c r="E733" s="969" t="s">
        <v>1256</v>
      </c>
      <c r="F733" s="862">
        <v>95632400000</v>
      </c>
      <c r="G733" s="862">
        <v>75787694000</v>
      </c>
      <c r="H733" s="862">
        <v>455015000</v>
      </c>
      <c r="I733" s="862"/>
      <c r="J733" s="862"/>
      <c r="K733" s="862"/>
      <c r="L733" s="862"/>
      <c r="M733" s="862"/>
      <c r="N733" s="862"/>
      <c r="O733" s="862"/>
      <c r="P733" s="862"/>
      <c r="Q733" s="862"/>
      <c r="R733" s="862">
        <f t="shared" si="191"/>
        <v>0</v>
      </c>
      <c r="S733" s="862"/>
      <c r="T733" s="862"/>
      <c r="U733" s="862"/>
      <c r="V733" s="862"/>
      <c r="W733" s="862">
        <f t="shared" si="192"/>
        <v>0</v>
      </c>
      <c r="X733" s="862">
        <f t="shared" si="193"/>
        <v>455015000</v>
      </c>
      <c r="Y733" s="862">
        <f t="shared" si="194"/>
        <v>75787694000</v>
      </c>
    </row>
    <row r="734" spans="1:25" ht="24.95" customHeight="1">
      <c r="A734" s="973" t="s">
        <v>477</v>
      </c>
      <c r="B734" s="865" t="s">
        <v>1477</v>
      </c>
      <c r="C734" s="876"/>
      <c r="D734" s="870"/>
      <c r="E734" s="969" t="s">
        <v>1257</v>
      </c>
      <c r="F734" s="862">
        <v>14558000000</v>
      </c>
      <c r="G734" s="862">
        <v>7640877000</v>
      </c>
      <c r="H734" s="862">
        <v>250895390</v>
      </c>
      <c r="I734" s="862"/>
      <c r="J734" s="862"/>
      <c r="K734" s="862"/>
      <c r="L734" s="862"/>
      <c r="M734" s="862"/>
      <c r="N734" s="862"/>
      <c r="O734" s="862"/>
      <c r="P734" s="862"/>
      <c r="Q734" s="862"/>
      <c r="R734" s="862">
        <f t="shared" si="191"/>
        <v>0</v>
      </c>
      <c r="S734" s="862"/>
      <c r="T734" s="862"/>
      <c r="U734" s="862"/>
      <c r="V734" s="862"/>
      <c r="W734" s="862">
        <f t="shared" si="192"/>
        <v>0</v>
      </c>
      <c r="X734" s="862">
        <f t="shared" si="193"/>
        <v>250895390</v>
      </c>
      <c r="Y734" s="862">
        <f t="shared" si="194"/>
        <v>7640877000</v>
      </c>
    </row>
    <row r="735" spans="1:25" ht="24.95" customHeight="1">
      <c r="A735" s="973" t="s">
        <v>106</v>
      </c>
      <c r="B735" s="865" t="s">
        <v>1589</v>
      </c>
      <c r="C735" s="876"/>
      <c r="D735" s="870"/>
      <c r="E735" s="969" t="s">
        <v>1258</v>
      </c>
      <c r="F735" s="862">
        <v>4049000000</v>
      </c>
      <c r="G735" s="862">
        <v>3359931000</v>
      </c>
      <c r="H735" s="862">
        <v>25000000</v>
      </c>
      <c r="I735" s="862"/>
      <c r="J735" s="862"/>
      <c r="K735" s="862"/>
      <c r="L735" s="862"/>
      <c r="M735" s="862"/>
      <c r="N735" s="862"/>
      <c r="O735" s="862"/>
      <c r="P735" s="862"/>
      <c r="Q735" s="862"/>
      <c r="R735" s="862">
        <f t="shared" si="191"/>
        <v>0</v>
      </c>
      <c r="S735" s="862"/>
      <c r="T735" s="862"/>
      <c r="U735" s="862"/>
      <c r="V735" s="862"/>
      <c r="W735" s="862">
        <f t="shared" si="192"/>
        <v>0</v>
      </c>
      <c r="X735" s="862">
        <f t="shared" si="193"/>
        <v>25000000</v>
      </c>
      <c r="Y735" s="862">
        <f t="shared" si="194"/>
        <v>3359931000</v>
      </c>
    </row>
    <row r="736" spans="1:25" ht="24.95" customHeight="1">
      <c r="A736" s="973" t="s">
        <v>588</v>
      </c>
      <c r="B736" s="865" t="s">
        <v>1476</v>
      </c>
      <c r="C736" s="876"/>
      <c r="D736" s="870"/>
      <c r="E736" s="969" t="s">
        <v>1259</v>
      </c>
      <c r="F736" s="862">
        <v>51275000000</v>
      </c>
      <c r="G736" s="862">
        <v>18267705000</v>
      </c>
      <c r="H736" s="862">
        <v>72563593</v>
      </c>
      <c r="I736" s="862">
        <v>72563593</v>
      </c>
      <c r="J736" s="862"/>
      <c r="K736" s="862"/>
      <c r="L736" s="862"/>
      <c r="M736" s="862"/>
      <c r="N736" s="862"/>
      <c r="O736" s="862"/>
      <c r="P736" s="862"/>
      <c r="Q736" s="862"/>
      <c r="R736" s="862"/>
      <c r="S736" s="862"/>
      <c r="T736" s="862"/>
      <c r="U736" s="862"/>
      <c r="V736" s="862"/>
      <c r="W736" s="862">
        <f t="shared" si="192"/>
        <v>0</v>
      </c>
      <c r="X736" s="862">
        <f t="shared" si="193"/>
        <v>0</v>
      </c>
      <c r="Y736" s="862">
        <f t="shared" si="194"/>
        <v>18267705000</v>
      </c>
    </row>
    <row r="737" spans="1:25" ht="15" customHeight="1">
      <c r="A737" s="973" t="s">
        <v>589</v>
      </c>
      <c r="B737" s="865" t="s">
        <v>1260</v>
      </c>
      <c r="C737" s="876"/>
      <c r="D737" s="870"/>
      <c r="E737" s="969" t="s">
        <v>1261</v>
      </c>
      <c r="F737" s="862">
        <v>9944000000</v>
      </c>
      <c r="G737" s="862">
        <v>7999412000</v>
      </c>
      <c r="H737" s="862">
        <v>19896000</v>
      </c>
      <c r="I737" s="862"/>
      <c r="J737" s="862">
        <v>13664407</v>
      </c>
      <c r="K737" s="862"/>
      <c r="L737" s="862"/>
      <c r="M737" s="862"/>
      <c r="N737" s="862"/>
      <c r="O737" s="862"/>
      <c r="P737" s="862"/>
      <c r="Q737" s="862"/>
      <c r="R737" s="862"/>
      <c r="S737" s="862"/>
      <c r="T737" s="862"/>
      <c r="U737" s="862"/>
      <c r="V737" s="862"/>
      <c r="W737" s="862">
        <f t="shared" si="192"/>
        <v>13664407</v>
      </c>
      <c r="X737" s="862">
        <f t="shared" si="193"/>
        <v>6231593</v>
      </c>
      <c r="Y737" s="862">
        <f t="shared" si="194"/>
        <v>7999412000</v>
      </c>
    </row>
    <row r="738" spans="1:25" ht="24.95" customHeight="1">
      <c r="A738" s="973" t="s">
        <v>591</v>
      </c>
      <c r="B738" s="865" t="s">
        <v>1262</v>
      </c>
      <c r="C738" s="876"/>
      <c r="D738" s="870"/>
      <c r="E738" s="969" t="s">
        <v>585</v>
      </c>
      <c r="F738" s="862">
        <v>69357000000</v>
      </c>
      <c r="G738" s="862">
        <v>68634255000</v>
      </c>
      <c r="H738" s="862">
        <v>1669718574</v>
      </c>
      <c r="I738" s="862"/>
      <c r="J738" s="862"/>
      <c r="K738" s="862"/>
      <c r="L738" s="862"/>
      <c r="M738" s="862"/>
      <c r="N738" s="862"/>
      <c r="O738" s="862"/>
      <c r="P738" s="862"/>
      <c r="Q738" s="862"/>
      <c r="R738" s="862"/>
      <c r="S738" s="862"/>
      <c r="T738" s="862"/>
      <c r="U738" s="862"/>
      <c r="V738" s="862"/>
      <c r="W738" s="862">
        <f t="shared" si="192"/>
        <v>0</v>
      </c>
      <c r="X738" s="862">
        <f t="shared" si="193"/>
        <v>1669718574</v>
      </c>
      <c r="Y738" s="862">
        <f t="shared" si="194"/>
        <v>68634255000</v>
      </c>
    </row>
    <row r="739" spans="1:25" ht="24.95" customHeight="1">
      <c r="A739" s="973" t="s">
        <v>593</v>
      </c>
      <c r="B739" s="865" t="s">
        <v>1263</v>
      </c>
      <c r="C739" s="876"/>
      <c r="D739" s="870"/>
      <c r="E739" s="969" t="s">
        <v>586</v>
      </c>
      <c r="F739" s="862">
        <v>114749000000</v>
      </c>
      <c r="G739" s="862">
        <v>94117708000</v>
      </c>
      <c r="H739" s="862">
        <v>1913238164</v>
      </c>
      <c r="I739" s="862"/>
      <c r="J739" s="862">
        <v>70214250</v>
      </c>
      <c r="K739" s="862"/>
      <c r="L739" s="862"/>
      <c r="M739" s="862"/>
      <c r="N739" s="862"/>
      <c r="O739" s="862"/>
      <c r="P739" s="862"/>
      <c r="Q739" s="862"/>
      <c r="R739" s="862"/>
      <c r="S739" s="862"/>
      <c r="T739" s="862"/>
      <c r="U739" s="862"/>
      <c r="V739" s="862"/>
      <c r="W739" s="862">
        <f t="shared" si="192"/>
        <v>70214250</v>
      </c>
      <c r="X739" s="862">
        <f t="shared" si="193"/>
        <v>1843023914</v>
      </c>
      <c r="Y739" s="862">
        <f t="shared" si="194"/>
        <v>94117708000</v>
      </c>
    </row>
    <row r="740" spans="1:25" ht="24.95" customHeight="1">
      <c r="A740" s="973" t="s">
        <v>595</v>
      </c>
      <c r="B740" s="865" t="s">
        <v>1264</v>
      </c>
      <c r="C740" s="876"/>
      <c r="D740" s="870"/>
      <c r="E740" s="969" t="s">
        <v>1265</v>
      </c>
      <c r="F740" s="862">
        <v>62852000000</v>
      </c>
      <c r="G740" s="862">
        <v>61355744000</v>
      </c>
      <c r="H740" s="862">
        <v>9103221</v>
      </c>
      <c r="I740" s="862"/>
      <c r="J740" s="862"/>
      <c r="K740" s="862"/>
      <c r="L740" s="862"/>
      <c r="M740" s="862"/>
      <c r="N740" s="862"/>
      <c r="O740" s="862"/>
      <c r="P740" s="862"/>
      <c r="Q740" s="862"/>
      <c r="R740" s="862"/>
      <c r="S740" s="862"/>
      <c r="T740" s="862"/>
      <c r="U740" s="862"/>
      <c r="V740" s="862"/>
      <c r="W740" s="862">
        <f t="shared" si="192"/>
        <v>0</v>
      </c>
      <c r="X740" s="862">
        <f t="shared" si="193"/>
        <v>9103221</v>
      </c>
      <c r="Y740" s="862">
        <f t="shared" si="194"/>
        <v>61355744000</v>
      </c>
    </row>
    <row r="741" spans="1:25" ht="24.95" customHeight="1">
      <c r="A741" s="973" t="s">
        <v>596</v>
      </c>
      <c r="B741" s="865" t="s">
        <v>1588</v>
      </c>
      <c r="C741" s="876"/>
      <c r="D741" s="870"/>
      <c r="E741" s="969" t="s">
        <v>1266</v>
      </c>
      <c r="F741" s="862">
        <v>51915000000</v>
      </c>
      <c r="G741" s="862">
        <v>40176133326</v>
      </c>
      <c r="H741" s="862">
        <v>24011750</v>
      </c>
      <c r="I741" s="862"/>
      <c r="J741" s="862"/>
      <c r="K741" s="862"/>
      <c r="L741" s="862"/>
      <c r="M741" s="862"/>
      <c r="N741" s="862"/>
      <c r="O741" s="862"/>
      <c r="P741" s="862"/>
      <c r="Q741" s="862"/>
      <c r="R741" s="862"/>
      <c r="S741" s="862"/>
      <c r="T741" s="862"/>
      <c r="U741" s="862"/>
      <c r="V741" s="862"/>
      <c r="W741" s="862">
        <f t="shared" si="192"/>
        <v>0</v>
      </c>
      <c r="X741" s="862">
        <f t="shared" si="193"/>
        <v>24011750</v>
      </c>
      <c r="Y741" s="862">
        <f t="shared" si="194"/>
        <v>40176133326</v>
      </c>
    </row>
    <row r="742" spans="1:25" ht="24.95" customHeight="1">
      <c r="A742" s="973" t="s">
        <v>597</v>
      </c>
      <c r="B742" s="865" t="s">
        <v>1475</v>
      </c>
      <c r="C742" s="876"/>
      <c r="D742" s="870"/>
      <c r="E742" s="969" t="s">
        <v>1267</v>
      </c>
      <c r="F742" s="862">
        <v>78296000000</v>
      </c>
      <c r="G742" s="862">
        <v>72696394000</v>
      </c>
      <c r="H742" s="862">
        <v>328214000</v>
      </c>
      <c r="I742" s="862">
        <v>328214000</v>
      </c>
      <c r="J742" s="862"/>
      <c r="K742" s="862"/>
      <c r="L742" s="862"/>
      <c r="M742" s="862"/>
      <c r="N742" s="862"/>
      <c r="O742" s="862"/>
      <c r="P742" s="862"/>
      <c r="Q742" s="862"/>
      <c r="R742" s="862"/>
      <c r="S742" s="862"/>
      <c r="T742" s="862"/>
      <c r="U742" s="862"/>
      <c r="V742" s="862"/>
      <c r="W742" s="862">
        <f t="shared" si="192"/>
        <v>0</v>
      </c>
      <c r="X742" s="862">
        <f t="shared" si="193"/>
        <v>0</v>
      </c>
      <c r="Y742" s="862">
        <f t="shared" si="194"/>
        <v>72696394000</v>
      </c>
    </row>
    <row r="743" spans="1:25" ht="24.95" customHeight="1">
      <c r="A743" s="973" t="s">
        <v>598</v>
      </c>
      <c r="B743" s="865" t="s">
        <v>1268</v>
      </c>
      <c r="C743" s="876"/>
      <c r="D743" s="870"/>
      <c r="E743" s="969" t="s">
        <v>527</v>
      </c>
      <c r="F743" s="862">
        <v>46421000000</v>
      </c>
      <c r="G743" s="862">
        <v>45844501106</v>
      </c>
      <c r="H743" s="862">
        <v>87749716</v>
      </c>
      <c r="I743" s="862"/>
      <c r="J743" s="862">
        <v>41744000</v>
      </c>
      <c r="K743" s="862"/>
      <c r="L743" s="862"/>
      <c r="M743" s="862"/>
      <c r="N743" s="862"/>
      <c r="O743" s="862"/>
      <c r="P743" s="862"/>
      <c r="Q743" s="862"/>
      <c r="R743" s="862"/>
      <c r="S743" s="862"/>
      <c r="T743" s="862"/>
      <c r="U743" s="862"/>
      <c r="V743" s="862"/>
      <c r="W743" s="862">
        <f t="shared" si="192"/>
        <v>41744000</v>
      </c>
      <c r="X743" s="862">
        <f t="shared" si="193"/>
        <v>46005716</v>
      </c>
      <c r="Y743" s="862">
        <f t="shared" si="194"/>
        <v>45844501106</v>
      </c>
    </row>
    <row r="744" spans="1:25" ht="32.1" customHeight="1">
      <c r="A744" s="973" t="s">
        <v>601</v>
      </c>
      <c r="B744" s="865" t="s">
        <v>1587</v>
      </c>
      <c r="C744" s="876"/>
      <c r="D744" s="870"/>
      <c r="E744" s="969" t="s">
        <v>594</v>
      </c>
      <c r="F744" s="862">
        <v>83288000000</v>
      </c>
      <c r="G744" s="862">
        <v>81099108763</v>
      </c>
      <c r="H744" s="862">
        <v>6477701</v>
      </c>
      <c r="I744" s="862"/>
      <c r="J744" s="862"/>
      <c r="K744" s="862"/>
      <c r="L744" s="862"/>
      <c r="M744" s="862"/>
      <c r="N744" s="862"/>
      <c r="O744" s="862"/>
      <c r="P744" s="862"/>
      <c r="Q744" s="862"/>
      <c r="R744" s="862"/>
      <c r="S744" s="862"/>
      <c r="T744" s="862"/>
      <c r="U744" s="862"/>
      <c r="V744" s="862"/>
      <c r="W744" s="862">
        <f t="shared" si="192"/>
        <v>0</v>
      </c>
      <c r="X744" s="862">
        <f t="shared" si="193"/>
        <v>6477701</v>
      </c>
      <c r="Y744" s="862">
        <f t="shared" si="194"/>
        <v>81099108763</v>
      </c>
    </row>
    <row r="745" spans="1:25" ht="24.95" customHeight="1">
      <c r="A745" s="973" t="s">
        <v>602</v>
      </c>
      <c r="B745" s="865" t="s">
        <v>1269</v>
      </c>
      <c r="C745" s="876"/>
      <c r="D745" s="870"/>
      <c r="E745" s="969" t="s">
        <v>587</v>
      </c>
      <c r="F745" s="862">
        <v>249113000000</v>
      </c>
      <c r="G745" s="862">
        <v>169097383913</v>
      </c>
      <c r="H745" s="862">
        <v>2440848000</v>
      </c>
      <c r="I745" s="862"/>
      <c r="J745" s="862"/>
      <c r="K745" s="862"/>
      <c r="L745" s="862"/>
      <c r="M745" s="862"/>
      <c r="N745" s="862"/>
      <c r="O745" s="862"/>
      <c r="P745" s="862"/>
      <c r="Q745" s="862"/>
      <c r="R745" s="862"/>
      <c r="S745" s="862"/>
      <c r="T745" s="862"/>
      <c r="U745" s="862"/>
      <c r="V745" s="862"/>
      <c r="W745" s="862">
        <f t="shared" si="192"/>
        <v>0</v>
      </c>
      <c r="X745" s="862">
        <f t="shared" si="193"/>
        <v>2440848000</v>
      </c>
      <c r="Y745" s="862">
        <f t="shared" si="194"/>
        <v>169097383913</v>
      </c>
    </row>
    <row r="746" spans="1:25" ht="24.95" customHeight="1">
      <c r="A746" s="973" t="s">
        <v>604</v>
      </c>
      <c r="B746" s="865" t="s">
        <v>1473</v>
      </c>
      <c r="C746" s="876"/>
      <c r="D746" s="870"/>
      <c r="E746" s="969" t="s">
        <v>590</v>
      </c>
      <c r="F746" s="862">
        <v>93996000000</v>
      </c>
      <c r="G746" s="862">
        <v>71460702761</v>
      </c>
      <c r="H746" s="862">
        <v>933509636</v>
      </c>
      <c r="I746" s="862"/>
      <c r="J746" s="862">
        <v>466116000</v>
      </c>
      <c r="K746" s="862"/>
      <c r="L746" s="862"/>
      <c r="M746" s="862"/>
      <c r="N746" s="862"/>
      <c r="O746" s="862"/>
      <c r="P746" s="862"/>
      <c r="Q746" s="862"/>
      <c r="R746" s="862"/>
      <c r="S746" s="862"/>
      <c r="T746" s="862"/>
      <c r="U746" s="862"/>
      <c r="V746" s="862"/>
      <c r="W746" s="862">
        <f t="shared" si="192"/>
        <v>466116000</v>
      </c>
      <c r="X746" s="862">
        <f t="shared" si="193"/>
        <v>467393636</v>
      </c>
      <c r="Y746" s="862">
        <f t="shared" si="194"/>
        <v>71460702761</v>
      </c>
    </row>
    <row r="747" spans="1:25" ht="32.1" customHeight="1">
      <c r="A747" s="973" t="s">
        <v>606</v>
      </c>
      <c r="B747" s="865" t="s">
        <v>1474</v>
      </c>
      <c r="C747" s="876"/>
      <c r="D747" s="870"/>
      <c r="E747" s="969" t="s">
        <v>592</v>
      </c>
      <c r="F747" s="862">
        <v>48643000000</v>
      </c>
      <c r="G747" s="862">
        <v>47834557200</v>
      </c>
      <c r="H747" s="862">
        <v>501784700</v>
      </c>
      <c r="I747" s="862"/>
      <c r="J747" s="862"/>
      <c r="K747" s="862"/>
      <c r="L747" s="862"/>
      <c r="M747" s="862"/>
      <c r="N747" s="862"/>
      <c r="O747" s="862"/>
      <c r="P747" s="862"/>
      <c r="Q747" s="862"/>
      <c r="R747" s="862"/>
      <c r="S747" s="862"/>
      <c r="T747" s="862"/>
      <c r="U747" s="862"/>
      <c r="V747" s="862"/>
      <c r="W747" s="862">
        <f t="shared" si="192"/>
        <v>0</v>
      </c>
      <c r="X747" s="862">
        <f t="shared" si="193"/>
        <v>501784700</v>
      </c>
      <c r="Y747" s="862">
        <f t="shared" si="194"/>
        <v>47834557200</v>
      </c>
    </row>
    <row r="748" spans="1:25" ht="24.95" customHeight="1">
      <c r="A748" s="973" t="s">
        <v>607</v>
      </c>
      <c r="B748" s="865" t="s">
        <v>1270</v>
      </c>
      <c r="C748" s="876"/>
      <c r="D748" s="870"/>
      <c r="E748" s="969" t="s">
        <v>1271</v>
      </c>
      <c r="F748" s="862">
        <v>66188000000</v>
      </c>
      <c r="G748" s="862">
        <v>56291945390</v>
      </c>
      <c r="H748" s="862">
        <v>1719103000</v>
      </c>
      <c r="I748" s="862"/>
      <c r="J748" s="862">
        <v>1483147000</v>
      </c>
      <c r="K748" s="862"/>
      <c r="L748" s="862"/>
      <c r="M748" s="862"/>
      <c r="N748" s="862"/>
      <c r="O748" s="862"/>
      <c r="P748" s="862"/>
      <c r="Q748" s="862"/>
      <c r="R748" s="862"/>
      <c r="S748" s="862"/>
      <c r="T748" s="862"/>
      <c r="U748" s="862"/>
      <c r="V748" s="862"/>
      <c r="W748" s="862">
        <f t="shared" si="192"/>
        <v>1483147000</v>
      </c>
      <c r="X748" s="862">
        <f t="shared" si="193"/>
        <v>235956000</v>
      </c>
      <c r="Y748" s="862">
        <f t="shared" si="194"/>
        <v>56291945390</v>
      </c>
    </row>
    <row r="749" spans="1:25" ht="24.95" customHeight="1">
      <c r="A749" s="973" t="s">
        <v>608</v>
      </c>
      <c r="B749" s="865" t="s">
        <v>1272</v>
      </c>
      <c r="C749" s="876"/>
      <c r="D749" s="870"/>
      <c r="E749" s="969" t="s">
        <v>1273</v>
      </c>
      <c r="F749" s="862">
        <v>80599000000</v>
      </c>
      <c r="G749" s="862">
        <v>84482100943</v>
      </c>
      <c r="H749" s="862">
        <v>1058169126</v>
      </c>
      <c r="I749" s="862"/>
      <c r="J749" s="862"/>
      <c r="K749" s="862"/>
      <c r="L749" s="862"/>
      <c r="M749" s="862"/>
      <c r="N749" s="862"/>
      <c r="O749" s="862"/>
      <c r="P749" s="862"/>
      <c r="Q749" s="862"/>
      <c r="R749" s="862"/>
      <c r="S749" s="862"/>
      <c r="T749" s="862"/>
      <c r="U749" s="862"/>
      <c r="V749" s="862"/>
      <c r="W749" s="862">
        <f t="shared" si="192"/>
        <v>0</v>
      </c>
      <c r="X749" s="862">
        <f t="shared" si="193"/>
        <v>1058169126</v>
      </c>
      <c r="Y749" s="862">
        <f t="shared" si="194"/>
        <v>84482100943</v>
      </c>
    </row>
    <row r="750" spans="1:25" ht="24.95" customHeight="1">
      <c r="A750" s="973" t="s">
        <v>742</v>
      </c>
      <c r="B750" s="865" t="s">
        <v>1274</v>
      </c>
      <c r="C750" s="876"/>
      <c r="D750" s="870"/>
      <c r="E750" s="969" t="s">
        <v>584</v>
      </c>
      <c r="F750" s="862">
        <v>69113000000</v>
      </c>
      <c r="G750" s="862">
        <v>67420344000</v>
      </c>
      <c r="H750" s="862">
        <v>564717911</v>
      </c>
      <c r="I750" s="862"/>
      <c r="J750" s="862"/>
      <c r="K750" s="862"/>
      <c r="L750" s="862"/>
      <c r="M750" s="862"/>
      <c r="N750" s="862"/>
      <c r="O750" s="862"/>
      <c r="P750" s="862"/>
      <c r="Q750" s="862"/>
      <c r="R750" s="862"/>
      <c r="S750" s="862"/>
      <c r="T750" s="862"/>
      <c r="U750" s="862"/>
      <c r="V750" s="862"/>
      <c r="W750" s="862">
        <f t="shared" si="192"/>
        <v>0</v>
      </c>
      <c r="X750" s="862">
        <f t="shared" si="193"/>
        <v>564717911</v>
      </c>
      <c r="Y750" s="862">
        <f t="shared" si="194"/>
        <v>67420344000</v>
      </c>
    </row>
    <row r="751" spans="1:25" ht="24.95" customHeight="1">
      <c r="A751" s="973" t="s">
        <v>743</v>
      </c>
      <c r="B751" s="865" t="s">
        <v>1275</v>
      </c>
      <c r="C751" s="876"/>
      <c r="D751" s="870"/>
      <c r="E751" s="969" t="s">
        <v>1276</v>
      </c>
      <c r="F751" s="862">
        <v>68490000000</v>
      </c>
      <c r="G751" s="862">
        <v>58084923715</v>
      </c>
      <c r="H751" s="862">
        <v>1705424935</v>
      </c>
      <c r="I751" s="862"/>
      <c r="J751" s="862">
        <v>237900000</v>
      </c>
      <c r="K751" s="862"/>
      <c r="L751" s="862"/>
      <c r="M751" s="862"/>
      <c r="N751" s="862"/>
      <c r="O751" s="862"/>
      <c r="P751" s="862"/>
      <c r="Q751" s="862"/>
      <c r="R751" s="862"/>
      <c r="S751" s="862"/>
      <c r="T751" s="862"/>
      <c r="U751" s="862"/>
      <c r="V751" s="862"/>
      <c r="W751" s="862">
        <f t="shared" si="192"/>
        <v>237900000</v>
      </c>
      <c r="X751" s="862">
        <f t="shared" si="193"/>
        <v>1467524935</v>
      </c>
      <c r="Y751" s="862">
        <f t="shared" si="194"/>
        <v>58084923715</v>
      </c>
    </row>
    <row r="752" spans="1:25" ht="24.95" customHeight="1">
      <c r="A752" s="973" t="s">
        <v>744</v>
      </c>
      <c r="B752" s="865" t="s">
        <v>1277</v>
      </c>
      <c r="C752" s="876"/>
      <c r="D752" s="870"/>
      <c r="E752" s="969" t="s">
        <v>1278</v>
      </c>
      <c r="F752" s="862">
        <v>138249000000</v>
      </c>
      <c r="G752" s="862">
        <v>137233552911</v>
      </c>
      <c r="H752" s="862">
        <v>2056644382</v>
      </c>
      <c r="I752" s="862"/>
      <c r="J752" s="862">
        <v>415400000</v>
      </c>
      <c r="K752" s="862"/>
      <c r="L752" s="862"/>
      <c r="M752" s="862"/>
      <c r="N752" s="862"/>
      <c r="O752" s="862"/>
      <c r="P752" s="862"/>
      <c r="Q752" s="862"/>
      <c r="R752" s="862"/>
      <c r="S752" s="862"/>
      <c r="T752" s="862"/>
      <c r="U752" s="862"/>
      <c r="V752" s="862"/>
      <c r="W752" s="862">
        <f t="shared" si="192"/>
        <v>415400000</v>
      </c>
      <c r="X752" s="862">
        <f>H752-I752-J752+N752+T752</f>
        <v>1641244382</v>
      </c>
      <c r="Y752" s="862">
        <f t="shared" si="194"/>
        <v>137233552911</v>
      </c>
    </row>
    <row r="753" spans="1:25" s="514" customFormat="1" ht="15" customHeight="1">
      <c r="A753" s="888"/>
      <c r="B753" s="968" t="s">
        <v>1279</v>
      </c>
      <c r="C753" s="890"/>
      <c r="D753" s="888"/>
      <c r="E753" s="970"/>
      <c r="F753" s="891">
        <f>SUM(F754:F758)</f>
        <v>2053521000000</v>
      </c>
      <c r="G753" s="891">
        <f t="shared" ref="G753:Y753" si="195">SUM(G754:G758)</f>
        <v>1418825730909</v>
      </c>
      <c r="H753" s="891">
        <f t="shared" si="195"/>
        <v>8260616957</v>
      </c>
      <c r="I753" s="891">
        <f t="shared" si="195"/>
        <v>873413000</v>
      </c>
      <c r="J753" s="891">
        <f t="shared" si="195"/>
        <v>6482336050</v>
      </c>
      <c r="K753" s="891">
        <f t="shared" si="195"/>
        <v>0</v>
      </c>
      <c r="L753" s="891">
        <f t="shared" si="195"/>
        <v>0</v>
      </c>
      <c r="M753" s="891">
        <f t="shared" si="195"/>
        <v>0</v>
      </c>
      <c r="N753" s="891">
        <f t="shared" si="195"/>
        <v>0</v>
      </c>
      <c r="O753" s="891">
        <f t="shared" si="195"/>
        <v>0</v>
      </c>
      <c r="P753" s="891">
        <f t="shared" si="195"/>
        <v>0</v>
      </c>
      <c r="Q753" s="891">
        <f t="shared" si="195"/>
        <v>0</v>
      </c>
      <c r="R753" s="891">
        <f t="shared" si="195"/>
        <v>0</v>
      </c>
      <c r="S753" s="891">
        <f t="shared" si="195"/>
        <v>0</v>
      </c>
      <c r="T753" s="891">
        <f t="shared" si="195"/>
        <v>0</v>
      </c>
      <c r="U753" s="891">
        <f t="shared" si="195"/>
        <v>0</v>
      </c>
      <c r="V753" s="891">
        <f t="shared" si="195"/>
        <v>0</v>
      </c>
      <c r="W753" s="891">
        <f>SUM(W754:W758)</f>
        <v>6482336050</v>
      </c>
      <c r="X753" s="891">
        <f>SUM(X754:X758)</f>
        <v>904867907</v>
      </c>
      <c r="Y753" s="891">
        <f t="shared" si="195"/>
        <v>1418825730909</v>
      </c>
    </row>
    <row r="754" spans="1:25" ht="24.95" customHeight="1">
      <c r="A754" s="870" t="s">
        <v>103</v>
      </c>
      <c r="B754" s="865" t="s">
        <v>1586</v>
      </c>
      <c r="C754" s="876"/>
      <c r="D754" s="870"/>
      <c r="E754" s="969" t="s">
        <v>1280</v>
      </c>
      <c r="F754" s="862">
        <v>463524000000</v>
      </c>
      <c r="G754" s="862">
        <v>360267054116</v>
      </c>
      <c r="H754" s="862">
        <v>3016463000</v>
      </c>
      <c r="I754" s="862">
        <v>873403000</v>
      </c>
      <c r="J754" s="862">
        <v>2051958000</v>
      </c>
      <c r="K754" s="862"/>
      <c r="L754" s="862"/>
      <c r="M754" s="862"/>
      <c r="N754" s="862"/>
      <c r="O754" s="862"/>
      <c r="P754" s="862"/>
      <c r="Q754" s="862"/>
      <c r="R754" s="862"/>
      <c r="S754" s="862"/>
      <c r="T754" s="862"/>
      <c r="U754" s="862"/>
      <c r="V754" s="862"/>
      <c r="W754" s="862">
        <f t="shared" si="192"/>
        <v>2051958000</v>
      </c>
      <c r="X754" s="862">
        <f t="shared" si="193"/>
        <v>91102000</v>
      </c>
      <c r="Y754" s="862">
        <f t="shared" si="194"/>
        <v>360267054116</v>
      </c>
    </row>
    <row r="755" spans="1:25" ht="24.95" customHeight="1">
      <c r="A755" s="870" t="s">
        <v>104</v>
      </c>
      <c r="B755" s="865" t="s">
        <v>1281</v>
      </c>
      <c r="C755" s="876"/>
      <c r="D755" s="870"/>
      <c r="E755" s="969" t="s">
        <v>1282</v>
      </c>
      <c r="F755" s="862">
        <v>300000000000</v>
      </c>
      <c r="G755" s="862">
        <v>106801342815</v>
      </c>
      <c r="H755" s="862">
        <v>167262400</v>
      </c>
      <c r="I755" s="862"/>
      <c r="J755" s="862"/>
      <c r="K755" s="862"/>
      <c r="L755" s="862"/>
      <c r="M755" s="862"/>
      <c r="N755" s="862"/>
      <c r="O755" s="862"/>
      <c r="P755" s="862"/>
      <c r="Q755" s="862"/>
      <c r="R755" s="862"/>
      <c r="S755" s="862"/>
      <c r="T755" s="862"/>
      <c r="U755" s="862"/>
      <c r="V755" s="862"/>
      <c r="W755" s="862">
        <f t="shared" si="192"/>
        <v>0</v>
      </c>
      <c r="X755" s="862">
        <f t="shared" si="193"/>
        <v>167262400</v>
      </c>
      <c r="Y755" s="862">
        <f t="shared" si="194"/>
        <v>106801342815</v>
      </c>
    </row>
    <row r="756" spans="1:25" ht="32.1" customHeight="1">
      <c r="A756" s="973" t="s">
        <v>105</v>
      </c>
      <c r="B756" s="865" t="s">
        <v>1472</v>
      </c>
      <c r="C756" s="876"/>
      <c r="D756" s="870"/>
      <c r="E756" s="969" t="s">
        <v>1283</v>
      </c>
      <c r="F756" s="862">
        <v>531412000000</v>
      </c>
      <c r="G756" s="862">
        <v>310626804000</v>
      </c>
      <c r="H756" s="862">
        <v>3847492000</v>
      </c>
      <c r="I756" s="862"/>
      <c r="J756" s="862">
        <v>3726110000</v>
      </c>
      <c r="K756" s="862"/>
      <c r="L756" s="862"/>
      <c r="M756" s="862"/>
      <c r="N756" s="862"/>
      <c r="O756" s="862"/>
      <c r="P756" s="862"/>
      <c r="Q756" s="862"/>
      <c r="R756" s="862"/>
      <c r="S756" s="862"/>
      <c r="T756" s="862"/>
      <c r="U756" s="862"/>
      <c r="V756" s="862"/>
      <c r="W756" s="862">
        <f t="shared" si="192"/>
        <v>3726110000</v>
      </c>
      <c r="X756" s="862">
        <f t="shared" si="193"/>
        <v>121382000</v>
      </c>
      <c r="Y756" s="862">
        <f t="shared" si="194"/>
        <v>310626804000</v>
      </c>
    </row>
    <row r="757" spans="1:25" ht="32.1" customHeight="1">
      <c r="A757" s="973" t="s">
        <v>147</v>
      </c>
      <c r="B757" s="865" t="s">
        <v>1284</v>
      </c>
      <c r="C757" s="876"/>
      <c r="D757" s="870"/>
      <c r="E757" s="969" t="s">
        <v>1285</v>
      </c>
      <c r="F757" s="862">
        <v>758585000000</v>
      </c>
      <c r="G757" s="862">
        <v>511088220833</v>
      </c>
      <c r="H757" s="862">
        <v>1110073506</v>
      </c>
      <c r="I757" s="862"/>
      <c r="J757" s="862">
        <v>593952000</v>
      </c>
      <c r="K757" s="862"/>
      <c r="L757" s="862"/>
      <c r="M757" s="862"/>
      <c r="N757" s="862"/>
      <c r="O757" s="862"/>
      <c r="P757" s="862"/>
      <c r="Q757" s="862"/>
      <c r="R757" s="862"/>
      <c r="S757" s="862"/>
      <c r="T757" s="862"/>
      <c r="U757" s="862"/>
      <c r="V757" s="862"/>
      <c r="W757" s="862">
        <f t="shared" si="192"/>
        <v>593952000</v>
      </c>
      <c r="X757" s="862">
        <f t="shared" si="193"/>
        <v>516121506</v>
      </c>
      <c r="Y757" s="862">
        <f t="shared" si="194"/>
        <v>511088220833</v>
      </c>
    </row>
    <row r="758" spans="1:25" ht="42" customHeight="1">
      <c r="A758" s="973" t="s">
        <v>477</v>
      </c>
      <c r="B758" s="865" t="s">
        <v>1286</v>
      </c>
      <c r="C758" s="876"/>
      <c r="D758" s="870"/>
      <c r="E758" s="953">
        <v>7148575</v>
      </c>
      <c r="F758" s="862"/>
      <c r="G758" s="862">
        <v>130042309145</v>
      </c>
      <c r="H758" s="862">
        <v>119326051</v>
      </c>
      <c r="I758" s="862">
        <v>10000</v>
      </c>
      <c r="J758" s="862">
        <f>86658550+23657500</f>
        <v>110316050</v>
      </c>
      <c r="K758" s="862"/>
      <c r="L758" s="862"/>
      <c r="M758" s="862"/>
      <c r="N758" s="862"/>
      <c r="O758" s="862"/>
      <c r="P758" s="862"/>
      <c r="Q758" s="862"/>
      <c r="R758" s="862"/>
      <c r="S758" s="862"/>
      <c r="T758" s="862"/>
      <c r="U758" s="862"/>
      <c r="V758" s="862"/>
      <c r="W758" s="862">
        <f t="shared" si="192"/>
        <v>110316050</v>
      </c>
      <c r="X758" s="862">
        <f t="shared" si="193"/>
        <v>9000001</v>
      </c>
      <c r="Y758" s="862">
        <f t="shared" si="194"/>
        <v>130042309145</v>
      </c>
    </row>
    <row r="759" spans="1:25" ht="15" customHeight="1">
      <c r="A759" s="870"/>
      <c r="B759" s="968" t="s">
        <v>1287</v>
      </c>
      <c r="C759" s="876"/>
      <c r="D759" s="870"/>
      <c r="E759" s="970"/>
      <c r="F759" s="891">
        <f>SUM(F760:F767)</f>
        <v>2097265000000</v>
      </c>
      <c r="G759" s="891">
        <f t="shared" ref="G759:Y759" si="196">SUM(G760:G767)</f>
        <v>1412939707501</v>
      </c>
      <c r="H759" s="891">
        <f t="shared" si="196"/>
        <v>39713698000</v>
      </c>
      <c r="I759" s="891">
        <f t="shared" si="196"/>
        <v>0</v>
      </c>
      <c r="J759" s="891">
        <f t="shared" si="196"/>
        <v>35461571500</v>
      </c>
      <c r="K759" s="891">
        <f t="shared" si="196"/>
        <v>0</v>
      </c>
      <c r="L759" s="891">
        <f t="shared" si="196"/>
        <v>0</v>
      </c>
      <c r="M759" s="891">
        <f t="shared" si="196"/>
        <v>0</v>
      </c>
      <c r="N759" s="891">
        <f t="shared" si="196"/>
        <v>0</v>
      </c>
      <c r="O759" s="891">
        <f t="shared" si="196"/>
        <v>0</v>
      </c>
      <c r="P759" s="891">
        <f t="shared" si="196"/>
        <v>0</v>
      </c>
      <c r="Q759" s="891">
        <f t="shared" si="196"/>
        <v>0</v>
      </c>
      <c r="R759" s="891">
        <f t="shared" si="196"/>
        <v>0</v>
      </c>
      <c r="S759" s="891">
        <f t="shared" si="196"/>
        <v>0</v>
      </c>
      <c r="T759" s="891">
        <f t="shared" si="196"/>
        <v>0</v>
      </c>
      <c r="U759" s="891">
        <f t="shared" si="196"/>
        <v>0</v>
      </c>
      <c r="V759" s="891">
        <f t="shared" si="196"/>
        <v>0</v>
      </c>
      <c r="W759" s="891">
        <f>SUM(W760:W767)</f>
        <v>35461571500</v>
      </c>
      <c r="X759" s="891">
        <f>SUM(X760:X767)</f>
        <v>4252126500</v>
      </c>
      <c r="Y759" s="891">
        <f t="shared" si="196"/>
        <v>1412939707501</v>
      </c>
    </row>
    <row r="760" spans="1:25" ht="24.95" customHeight="1">
      <c r="A760" s="870" t="s">
        <v>103</v>
      </c>
      <c r="B760" s="865" t="s">
        <v>1288</v>
      </c>
      <c r="C760" s="876"/>
      <c r="D760" s="870"/>
      <c r="E760" s="969" t="s">
        <v>1289</v>
      </c>
      <c r="F760" s="862">
        <v>79250000000</v>
      </c>
      <c r="G760" s="862">
        <v>51720171000</v>
      </c>
      <c r="H760" s="862">
        <v>1350000000</v>
      </c>
      <c r="I760" s="862"/>
      <c r="J760" s="862"/>
      <c r="K760" s="862"/>
      <c r="L760" s="862"/>
      <c r="M760" s="862"/>
      <c r="N760" s="862"/>
      <c r="O760" s="862"/>
      <c r="P760" s="862"/>
      <c r="Q760" s="862"/>
      <c r="R760" s="862"/>
      <c r="S760" s="862"/>
      <c r="T760" s="862"/>
      <c r="U760" s="862"/>
      <c r="V760" s="862"/>
      <c r="W760" s="862">
        <f t="shared" si="192"/>
        <v>0</v>
      </c>
      <c r="X760" s="862">
        <f t="shared" si="193"/>
        <v>1350000000</v>
      </c>
      <c r="Y760" s="862">
        <f t="shared" si="194"/>
        <v>51720171000</v>
      </c>
    </row>
    <row r="761" spans="1:25" ht="24.95" customHeight="1">
      <c r="A761" s="870" t="s">
        <v>104</v>
      </c>
      <c r="B761" s="865" t="s">
        <v>1468</v>
      </c>
      <c r="C761" s="876"/>
      <c r="D761" s="870"/>
      <c r="E761" s="969" t="s">
        <v>631</v>
      </c>
      <c r="F761" s="862">
        <v>217609000000</v>
      </c>
      <c r="G761" s="862">
        <v>176351024100</v>
      </c>
      <c r="H761" s="862">
        <v>442315000</v>
      </c>
      <c r="I761" s="862"/>
      <c r="J761" s="862">
        <v>144000000</v>
      </c>
      <c r="K761" s="862"/>
      <c r="L761" s="862"/>
      <c r="M761" s="862"/>
      <c r="N761" s="862"/>
      <c r="O761" s="862"/>
      <c r="P761" s="862"/>
      <c r="Q761" s="862"/>
      <c r="R761" s="862"/>
      <c r="S761" s="862"/>
      <c r="T761" s="862"/>
      <c r="U761" s="862"/>
      <c r="V761" s="862"/>
      <c r="W761" s="862">
        <f t="shared" si="192"/>
        <v>144000000</v>
      </c>
      <c r="X761" s="862">
        <f t="shared" si="193"/>
        <v>298315000</v>
      </c>
      <c r="Y761" s="862">
        <f t="shared" si="194"/>
        <v>176351024100</v>
      </c>
    </row>
    <row r="762" spans="1:25" ht="15" customHeight="1">
      <c r="A762" s="973" t="s">
        <v>105</v>
      </c>
      <c r="B762" s="865" t="s">
        <v>1470</v>
      </c>
      <c r="C762" s="876"/>
      <c r="D762" s="870"/>
      <c r="E762" s="969" t="s">
        <v>632</v>
      </c>
      <c r="F762" s="862">
        <v>209671000000</v>
      </c>
      <c r="G762" s="862">
        <v>95627777508</v>
      </c>
      <c r="H762" s="862">
        <v>4163746000</v>
      </c>
      <c r="I762" s="862"/>
      <c r="J762" s="862">
        <v>4163746000</v>
      </c>
      <c r="K762" s="862"/>
      <c r="L762" s="862"/>
      <c r="M762" s="862"/>
      <c r="N762" s="862"/>
      <c r="O762" s="862"/>
      <c r="P762" s="862"/>
      <c r="Q762" s="862"/>
      <c r="R762" s="862"/>
      <c r="S762" s="862"/>
      <c r="T762" s="862"/>
      <c r="U762" s="862"/>
      <c r="V762" s="862"/>
      <c r="W762" s="862">
        <f t="shared" si="192"/>
        <v>4163746000</v>
      </c>
      <c r="X762" s="862">
        <f t="shared" si="193"/>
        <v>0</v>
      </c>
      <c r="Y762" s="862">
        <f t="shared" si="194"/>
        <v>95627777508</v>
      </c>
    </row>
    <row r="763" spans="1:25" ht="15" customHeight="1">
      <c r="A763" s="973" t="s">
        <v>147</v>
      </c>
      <c r="B763" s="865" t="s">
        <v>1471</v>
      </c>
      <c r="C763" s="876"/>
      <c r="D763" s="870"/>
      <c r="E763" s="969" t="s">
        <v>1290</v>
      </c>
      <c r="F763" s="862">
        <v>169343000000</v>
      </c>
      <c r="G763" s="862">
        <v>125878279547</v>
      </c>
      <c r="H763" s="862">
        <v>210000000</v>
      </c>
      <c r="I763" s="862"/>
      <c r="J763" s="862">
        <v>210000000</v>
      </c>
      <c r="K763" s="862"/>
      <c r="L763" s="862"/>
      <c r="M763" s="862"/>
      <c r="N763" s="862"/>
      <c r="O763" s="862"/>
      <c r="P763" s="862"/>
      <c r="Q763" s="862"/>
      <c r="R763" s="862"/>
      <c r="S763" s="862"/>
      <c r="T763" s="862"/>
      <c r="U763" s="862"/>
      <c r="V763" s="862"/>
      <c r="W763" s="862">
        <f t="shared" si="192"/>
        <v>210000000</v>
      </c>
      <c r="X763" s="862">
        <f t="shared" si="193"/>
        <v>0</v>
      </c>
      <c r="Y763" s="862">
        <f t="shared" si="194"/>
        <v>125878279547</v>
      </c>
    </row>
    <row r="764" spans="1:25" ht="15" customHeight="1">
      <c r="A764" s="973" t="s">
        <v>477</v>
      </c>
      <c r="B764" s="865" t="s">
        <v>1469</v>
      </c>
      <c r="C764" s="876"/>
      <c r="D764" s="870"/>
      <c r="E764" s="969" t="s">
        <v>633</v>
      </c>
      <c r="F764" s="862">
        <v>195360000000</v>
      </c>
      <c r="G764" s="862">
        <v>129908465000</v>
      </c>
      <c r="H764" s="862">
        <v>16135500</v>
      </c>
      <c r="I764" s="862"/>
      <c r="J764" s="862"/>
      <c r="K764" s="862"/>
      <c r="L764" s="862"/>
      <c r="M764" s="862"/>
      <c r="N764" s="862"/>
      <c r="O764" s="862"/>
      <c r="P764" s="862"/>
      <c r="Q764" s="862"/>
      <c r="R764" s="862"/>
      <c r="S764" s="862"/>
      <c r="T764" s="862"/>
      <c r="U764" s="862"/>
      <c r="V764" s="862"/>
      <c r="W764" s="862">
        <f t="shared" si="192"/>
        <v>0</v>
      </c>
      <c r="X764" s="862">
        <f t="shared" si="193"/>
        <v>16135500</v>
      </c>
      <c r="Y764" s="862">
        <f t="shared" si="194"/>
        <v>129908465000</v>
      </c>
    </row>
    <row r="765" spans="1:25" ht="15" customHeight="1">
      <c r="A765" s="973" t="s">
        <v>106</v>
      </c>
      <c r="B765" s="865" t="s">
        <v>1585</v>
      </c>
      <c r="C765" s="876"/>
      <c r="D765" s="870"/>
      <c r="E765" s="969" t="s">
        <v>1291</v>
      </c>
      <c r="F765" s="862">
        <v>420100000000</v>
      </c>
      <c r="G765" s="862">
        <v>303801880800</v>
      </c>
      <c r="H765" s="862">
        <v>19961086500</v>
      </c>
      <c r="I765" s="862"/>
      <c r="J765" s="862">
        <f>19717486500+100074000</f>
        <v>19817560500</v>
      </c>
      <c r="K765" s="862"/>
      <c r="L765" s="862"/>
      <c r="M765" s="862"/>
      <c r="N765" s="862"/>
      <c r="O765" s="862"/>
      <c r="P765" s="862"/>
      <c r="Q765" s="862"/>
      <c r="R765" s="862"/>
      <c r="S765" s="862"/>
      <c r="T765" s="862"/>
      <c r="U765" s="862"/>
      <c r="V765" s="862"/>
      <c r="W765" s="862">
        <f t="shared" si="192"/>
        <v>19817560500</v>
      </c>
      <c r="X765" s="862">
        <f t="shared" si="193"/>
        <v>143526000</v>
      </c>
      <c r="Y765" s="862">
        <f t="shared" si="194"/>
        <v>303801880800</v>
      </c>
    </row>
    <row r="766" spans="1:25" ht="24.95" customHeight="1">
      <c r="A766" s="973" t="s">
        <v>588</v>
      </c>
      <c r="B766" s="865" t="s">
        <v>1100</v>
      </c>
      <c r="C766" s="876"/>
      <c r="D766" s="870"/>
      <c r="E766" s="969" t="s">
        <v>1292</v>
      </c>
      <c r="F766" s="862">
        <v>145995000000</v>
      </c>
      <c r="G766" s="862">
        <v>117546268773</v>
      </c>
      <c r="H766" s="862">
        <v>107665000</v>
      </c>
      <c r="I766" s="862"/>
      <c r="J766" s="862">
        <v>7665000</v>
      </c>
      <c r="K766" s="862"/>
      <c r="L766" s="862"/>
      <c r="M766" s="862"/>
      <c r="N766" s="862"/>
      <c r="O766" s="862"/>
      <c r="P766" s="862"/>
      <c r="Q766" s="862"/>
      <c r="R766" s="862"/>
      <c r="S766" s="862"/>
      <c r="T766" s="862"/>
      <c r="U766" s="862"/>
      <c r="V766" s="862"/>
      <c r="W766" s="862">
        <f t="shared" si="192"/>
        <v>7665000</v>
      </c>
      <c r="X766" s="862">
        <f t="shared" si="193"/>
        <v>100000000</v>
      </c>
      <c r="Y766" s="862">
        <f t="shared" si="194"/>
        <v>117546268773</v>
      </c>
    </row>
    <row r="767" spans="1:25" ht="15" customHeight="1">
      <c r="A767" s="973" t="s">
        <v>589</v>
      </c>
      <c r="B767" s="865" t="s">
        <v>0</v>
      </c>
      <c r="C767" s="876"/>
      <c r="D767" s="870"/>
      <c r="E767" s="969" t="s">
        <v>1293</v>
      </c>
      <c r="F767" s="862">
        <v>659937000000</v>
      </c>
      <c r="G767" s="862">
        <v>412105840773</v>
      </c>
      <c r="H767" s="862">
        <v>13462750000</v>
      </c>
      <c r="I767" s="862"/>
      <c r="J767" s="862">
        <v>11118600000</v>
      </c>
      <c r="K767" s="862"/>
      <c r="L767" s="862"/>
      <c r="M767" s="862"/>
      <c r="N767" s="862"/>
      <c r="O767" s="862"/>
      <c r="P767" s="862"/>
      <c r="Q767" s="862"/>
      <c r="R767" s="862"/>
      <c r="S767" s="862"/>
      <c r="T767" s="862"/>
      <c r="U767" s="862"/>
      <c r="V767" s="862"/>
      <c r="W767" s="862">
        <f t="shared" si="192"/>
        <v>11118600000</v>
      </c>
      <c r="X767" s="862">
        <f t="shared" si="193"/>
        <v>2344150000</v>
      </c>
      <c r="Y767" s="862">
        <f t="shared" si="194"/>
        <v>412105840773</v>
      </c>
    </row>
    <row r="768" spans="1:25" ht="24.95" customHeight="1">
      <c r="A768" s="870"/>
      <c r="B768" s="933" t="s">
        <v>1294</v>
      </c>
      <c r="C768" s="876"/>
      <c r="D768" s="870"/>
      <c r="E768" s="971"/>
      <c r="F768" s="891">
        <f>F769</f>
        <v>0</v>
      </c>
      <c r="G768" s="891">
        <f t="shared" ref="G768:Y768" si="197">G769</f>
        <v>62796974636</v>
      </c>
      <c r="H768" s="891">
        <f t="shared" si="197"/>
        <v>202036747</v>
      </c>
      <c r="I768" s="891">
        <f t="shared" si="197"/>
        <v>0</v>
      </c>
      <c r="J768" s="891">
        <f t="shared" si="197"/>
        <v>42881700</v>
      </c>
      <c r="K768" s="891">
        <f t="shared" si="197"/>
        <v>0</v>
      </c>
      <c r="L768" s="891">
        <f t="shared" si="197"/>
        <v>0</v>
      </c>
      <c r="M768" s="891">
        <f t="shared" si="197"/>
        <v>0</v>
      </c>
      <c r="N768" s="891">
        <f t="shared" si="197"/>
        <v>0</v>
      </c>
      <c r="O768" s="891">
        <f t="shared" si="197"/>
        <v>0</v>
      </c>
      <c r="P768" s="891">
        <f t="shared" si="197"/>
        <v>0</v>
      </c>
      <c r="Q768" s="891">
        <f t="shared" si="197"/>
        <v>0</v>
      </c>
      <c r="R768" s="891">
        <f t="shared" si="197"/>
        <v>0</v>
      </c>
      <c r="S768" s="891">
        <f t="shared" si="197"/>
        <v>0</v>
      </c>
      <c r="T768" s="891">
        <f t="shared" si="197"/>
        <v>0</v>
      </c>
      <c r="U768" s="891">
        <f t="shared" si="197"/>
        <v>0</v>
      </c>
      <c r="V768" s="891">
        <f t="shared" si="197"/>
        <v>0</v>
      </c>
      <c r="W768" s="891">
        <f t="shared" si="197"/>
        <v>42881700</v>
      </c>
      <c r="X768" s="891">
        <f>X769</f>
        <v>159155047</v>
      </c>
      <c r="Y768" s="891">
        <f t="shared" si="197"/>
        <v>62796974636</v>
      </c>
    </row>
    <row r="769" spans="1:25" ht="24.95" customHeight="1">
      <c r="A769" s="870" t="s">
        <v>103</v>
      </c>
      <c r="B769" s="865" t="s">
        <v>1295</v>
      </c>
      <c r="C769" s="876"/>
      <c r="D769" s="870"/>
      <c r="E769" s="953">
        <v>7199192</v>
      </c>
      <c r="F769" s="862"/>
      <c r="G769" s="862">
        <v>62796974636</v>
      </c>
      <c r="H769" s="862">
        <v>202036747</v>
      </c>
      <c r="I769" s="862"/>
      <c r="J769" s="862">
        <v>42881700</v>
      </c>
      <c r="K769" s="862"/>
      <c r="L769" s="862"/>
      <c r="M769" s="862"/>
      <c r="N769" s="862"/>
      <c r="O769" s="862"/>
      <c r="P769" s="862"/>
      <c r="Q769" s="862"/>
      <c r="R769" s="862"/>
      <c r="S769" s="862"/>
      <c r="T769" s="862"/>
      <c r="U769" s="862"/>
      <c r="V769" s="862"/>
      <c r="W769" s="862">
        <f t="shared" si="192"/>
        <v>42881700</v>
      </c>
      <c r="X769" s="862">
        <f t="shared" si="193"/>
        <v>159155047</v>
      </c>
      <c r="Y769" s="862">
        <f t="shared" si="194"/>
        <v>62796974636</v>
      </c>
    </row>
    <row r="770" spans="1:25" ht="15" customHeight="1">
      <c r="A770" s="870"/>
      <c r="B770" s="933" t="s">
        <v>1296</v>
      </c>
      <c r="C770" s="876"/>
      <c r="D770" s="870"/>
      <c r="E770" s="967"/>
      <c r="F770" s="862"/>
      <c r="G770" s="862"/>
      <c r="H770" s="862">
        <v>0</v>
      </c>
      <c r="I770" s="862">
        <v>0</v>
      </c>
      <c r="J770" s="862">
        <v>0</v>
      </c>
      <c r="K770" s="862"/>
      <c r="L770" s="862"/>
      <c r="M770" s="862"/>
      <c r="N770" s="862"/>
      <c r="O770" s="862"/>
      <c r="P770" s="862"/>
      <c r="Q770" s="862"/>
      <c r="R770" s="862"/>
      <c r="S770" s="862"/>
      <c r="T770" s="862"/>
      <c r="U770" s="862"/>
      <c r="V770" s="862"/>
      <c r="W770" s="862">
        <f t="shared" si="192"/>
        <v>0</v>
      </c>
      <c r="X770" s="862">
        <f t="shared" si="193"/>
        <v>0</v>
      </c>
      <c r="Y770" s="862">
        <f t="shared" si="194"/>
        <v>0</v>
      </c>
    </row>
    <row r="771" spans="1:25" ht="15" customHeight="1">
      <c r="A771" s="870"/>
      <c r="B771" s="915" t="s">
        <v>1297</v>
      </c>
      <c r="C771" s="876"/>
      <c r="D771" s="870"/>
      <c r="E771" s="953"/>
      <c r="F771" s="862"/>
      <c r="G771" s="862"/>
      <c r="H771" s="862">
        <v>0</v>
      </c>
      <c r="I771" s="862">
        <v>0</v>
      </c>
      <c r="J771" s="862">
        <v>0</v>
      </c>
      <c r="K771" s="862"/>
      <c r="L771" s="862"/>
      <c r="M771" s="862"/>
      <c r="N771" s="862"/>
      <c r="O771" s="862"/>
      <c r="P771" s="862"/>
      <c r="Q771" s="862"/>
      <c r="R771" s="862"/>
      <c r="S771" s="862"/>
      <c r="T771" s="862"/>
      <c r="U771" s="862"/>
      <c r="V771" s="862"/>
      <c r="W771" s="862">
        <f t="shared" si="192"/>
        <v>0</v>
      </c>
      <c r="X771" s="862">
        <f t="shared" si="193"/>
        <v>0</v>
      </c>
      <c r="Y771" s="862">
        <f t="shared" si="194"/>
        <v>0</v>
      </c>
    </row>
    <row r="772" spans="1:25" ht="24.95" customHeight="1">
      <c r="A772" s="870" t="s">
        <v>103</v>
      </c>
      <c r="B772" s="865" t="s">
        <v>1298</v>
      </c>
      <c r="C772" s="876"/>
      <c r="D772" s="870"/>
      <c r="E772" s="953">
        <v>7474037</v>
      </c>
      <c r="F772" s="862"/>
      <c r="G772" s="862"/>
      <c r="H772" s="862">
        <v>0</v>
      </c>
      <c r="I772" s="862"/>
      <c r="J772" s="862"/>
      <c r="K772" s="862"/>
      <c r="L772" s="862"/>
      <c r="M772" s="862"/>
      <c r="N772" s="862"/>
      <c r="O772" s="862"/>
      <c r="P772" s="862"/>
      <c r="Q772" s="862"/>
      <c r="R772" s="862"/>
      <c r="S772" s="862"/>
      <c r="T772" s="862"/>
      <c r="U772" s="862"/>
      <c r="V772" s="862"/>
      <c r="W772" s="862">
        <f t="shared" si="192"/>
        <v>0</v>
      </c>
      <c r="X772" s="862">
        <f t="shared" si="193"/>
        <v>0</v>
      </c>
      <c r="Y772" s="862">
        <f t="shared" si="194"/>
        <v>0</v>
      </c>
    </row>
    <row r="773" spans="1:25" ht="15" customHeight="1">
      <c r="A773" s="870"/>
      <c r="B773" s="915" t="s">
        <v>471</v>
      </c>
      <c r="C773" s="876"/>
      <c r="D773" s="870"/>
      <c r="E773" s="953"/>
      <c r="F773" s="862"/>
      <c r="G773" s="862"/>
      <c r="H773" s="862">
        <v>0</v>
      </c>
      <c r="I773" s="862">
        <v>0</v>
      </c>
      <c r="J773" s="862">
        <v>0</v>
      </c>
      <c r="K773" s="862"/>
      <c r="L773" s="862"/>
      <c r="M773" s="862"/>
      <c r="N773" s="862"/>
      <c r="O773" s="862"/>
      <c r="P773" s="862"/>
      <c r="Q773" s="862"/>
      <c r="R773" s="862"/>
      <c r="S773" s="862"/>
      <c r="T773" s="862"/>
      <c r="U773" s="862"/>
      <c r="V773" s="862"/>
      <c r="W773" s="862">
        <f t="shared" si="192"/>
        <v>0</v>
      </c>
      <c r="X773" s="862">
        <f t="shared" si="193"/>
        <v>0</v>
      </c>
      <c r="Y773" s="862">
        <f t="shared" si="194"/>
        <v>0</v>
      </c>
    </row>
    <row r="774" spans="1:25" ht="24.95" customHeight="1">
      <c r="A774" s="870" t="s">
        <v>103</v>
      </c>
      <c r="B774" s="865" t="s">
        <v>1299</v>
      </c>
      <c r="C774" s="876"/>
      <c r="D774" s="870"/>
      <c r="E774" s="953">
        <v>7475489</v>
      </c>
      <c r="F774" s="862"/>
      <c r="G774" s="862"/>
      <c r="H774" s="862">
        <v>0</v>
      </c>
      <c r="I774" s="862"/>
      <c r="J774" s="862"/>
      <c r="K774" s="862"/>
      <c r="L774" s="862"/>
      <c r="M774" s="862"/>
      <c r="N774" s="862"/>
      <c r="O774" s="862"/>
      <c r="P774" s="862"/>
      <c r="Q774" s="862"/>
      <c r="R774" s="862"/>
      <c r="S774" s="862"/>
      <c r="T774" s="862"/>
      <c r="U774" s="862"/>
      <c r="V774" s="862"/>
      <c r="W774" s="862">
        <f t="shared" si="192"/>
        <v>0</v>
      </c>
      <c r="X774" s="862">
        <f t="shared" si="193"/>
        <v>0</v>
      </c>
      <c r="Y774" s="862">
        <f t="shared" si="194"/>
        <v>0</v>
      </c>
    </row>
    <row r="775" spans="1:25" ht="24.95" customHeight="1">
      <c r="A775" s="870" t="s">
        <v>104</v>
      </c>
      <c r="B775" s="865" t="s">
        <v>1300</v>
      </c>
      <c r="C775" s="876"/>
      <c r="D775" s="870"/>
      <c r="E775" s="953">
        <v>7476752</v>
      </c>
      <c r="F775" s="862"/>
      <c r="G775" s="862"/>
      <c r="H775" s="862">
        <v>0</v>
      </c>
      <c r="I775" s="862"/>
      <c r="J775" s="862"/>
      <c r="K775" s="862"/>
      <c r="L775" s="862"/>
      <c r="M775" s="862"/>
      <c r="N775" s="862"/>
      <c r="O775" s="862"/>
      <c r="P775" s="862"/>
      <c r="Q775" s="862"/>
      <c r="R775" s="862"/>
      <c r="S775" s="862"/>
      <c r="T775" s="862"/>
      <c r="U775" s="862"/>
      <c r="V775" s="862"/>
      <c r="W775" s="862">
        <f t="shared" si="192"/>
        <v>0</v>
      </c>
      <c r="X775" s="862">
        <f t="shared" si="193"/>
        <v>0</v>
      </c>
      <c r="Y775" s="862">
        <f t="shared" si="194"/>
        <v>0</v>
      </c>
    </row>
    <row r="776" spans="1:25" ht="24.95" customHeight="1">
      <c r="A776" s="973" t="s">
        <v>105</v>
      </c>
      <c r="B776" s="865" t="s">
        <v>1301</v>
      </c>
      <c r="C776" s="876"/>
      <c r="D776" s="870"/>
      <c r="E776" s="953">
        <v>7477937</v>
      </c>
      <c r="F776" s="862"/>
      <c r="G776" s="862"/>
      <c r="H776" s="862">
        <v>0</v>
      </c>
      <c r="I776" s="862"/>
      <c r="J776" s="862"/>
      <c r="K776" s="862"/>
      <c r="L776" s="862"/>
      <c r="M776" s="862"/>
      <c r="N776" s="862"/>
      <c r="O776" s="862"/>
      <c r="P776" s="862"/>
      <c r="Q776" s="862"/>
      <c r="R776" s="862"/>
      <c r="S776" s="862"/>
      <c r="T776" s="862"/>
      <c r="U776" s="862"/>
      <c r="V776" s="862"/>
      <c r="W776" s="862">
        <f t="shared" si="192"/>
        <v>0</v>
      </c>
      <c r="X776" s="862">
        <f t="shared" si="193"/>
        <v>0</v>
      </c>
      <c r="Y776" s="862">
        <f t="shared" si="194"/>
        <v>0</v>
      </c>
    </row>
    <row r="777" spans="1:25" hidden="1">
      <c r="A777" s="870"/>
      <c r="B777" s="865"/>
      <c r="C777" s="876"/>
      <c r="D777" s="870"/>
      <c r="E777" s="953"/>
      <c r="F777" s="862"/>
      <c r="G777" s="862"/>
      <c r="H777" s="862"/>
      <c r="I777" s="862"/>
      <c r="J777" s="862"/>
      <c r="K777" s="862"/>
      <c r="L777" s="862"/>
      <c r="M777" s="862"/>
      <c r="N777" s="862"/>
      <c r="O777" s="862"/>
      <c r="P777" s="862"/>
      <c r="Q777" s="862"/>
      <c r="R777" s="862"/>
      <c r="S777" s="862"/>
      <c r="T777" s="862"/>
      <c r="U777" s="862"/>
      <c r="V777" s="862"/>
      <c r="W777" s="862"/>
      <c r="X777" s="862"/>
      <c r="Y777" s="862"/>
    </row>
    <row r="778" spans="1:25" hidden="1">
      <c r="A778" s="871">
        <v>5</v>
      </c>
      <c r="B778" s="883" t="s">
        <v>819</v>
      </c>
      <c r="C778" s="875"/>
      <c r="D778" s="871"/>
      <c r="E778" s="871"/>
      <c r="F778" s="884"/>
      <c r="G778" s="884"/>
      <c r="H778" s="884"/>
      <c r="I778" s="884"/>
      <c r="J778" s="884"/>
      <c r="K778" s="884"/>
      <c r="L778" s="884"/>
      <c r="M778" s="884"/>
      <c r="N778" s="884"/>
      <c r="O778" s="884"/>
      <c r="P778" s="884"/>
      <c r="Q778" s="884"/>
      <c r="R778" s="862">
        <f t="shared" si="191"/>
        <v>0</v>
      </c>
      <c r="S778" s="884"/>
      <c r="T778" s="884"/>
      <c r="U778" s="884"/>
      <c r="V778" s="884"/>
      <c r="W778" s="862">
        <f t="shared" ref="W778:W787" si="198">J778+M778+S778</f>
        <v>0</v>
      </c>
      <c r="X778" s="862">
        <f t="shared" ref="X778:X786" si="199">H778-I778-J778+N778+T778</f>
        <v>0</v>
      </c>
      <c r="Y778" s="862">
        <f t="shared" ref="Y778:Y784" si="200">G778+L778+R778</f>
        <v>0</v>
      </c>
    </row>
    <row r="779" spans="1:25" hidden="1">
      <c r="A779" s="879"/>
      <c r="B779" s="885" t="s">
        <v>813</v>
      </c>
      <c r="C779" s="880"/>
      <c r="D779" s="879"/>
      <c r="E779" s="879"/>
      <c r="F779" s="886"/>
      <c r="G779" s="886"/>
      <c r="H779" s="886"/>
      <c r="I779" s="886"/>
      <c r="J779" s="886"/>
      <c r="K779" s="886"/>
      <c r="L779" s="886"/>
      <c r="M779" s="886"/>
      <c r="N779" s="886"/>
      <c r="O779" s="886"/>
      <c r="P779" s="886"/>
      <c r="Q779" s="886"/>
      <c r="R779" s="862">
        <f t="shared" si="191"/>
        <v>0</v>
      </c>
      <c r="S779" s="886"/>
      <c r="T779" s="886"/>
      <c r="U779" s="886"/>
      <c r="V779" s="886"/>
      <c r="W779" s="862">
        <f t="shared" si="198"/>
        <v>0</v>
      </c>
      <c r="X779" s="862">
        <f t="shared" si="199"/>
        <v>0</v>
      </c>
      <c r="Y779" s="862">
        <f t="shared" si="200"/>
        <v>0</v>
      </c>
    </row>
    <row r="780" spans="1:25" hidden="1">
      <c r="A780" s="870"/>
      <c r="B780" s="887" t="s">
        <v>1046</v>
      </c>
      <c r="C780" s="876"/>
      <c r="D780" s="870"/>
      <c r="E780" s="870"/>
      <c r="F780" s="862"/>
      <c r="G780" s="862"/>
      <c r="H780" s="862"/>
      <c r="I780" s="862"/>
      <c r="J780" s="862"/>
      <c r="K780" s="862"/>
      <c r="L780" s="862"/>
      <c r="M780" s="862"/>
      <c r="N780" s="862"/>
      <c r="O780" s="862"/>
      <c r="P780" s="862"/>
      <c r="Q780" s="862"/>
      <c r="R780" s="862">
        <f t="shared" si="191"/>
        <v>0</v>
      </c>
      <c r="S780" s="862"/>
      <c r="T780" s="862"/>
      <c r="U780" s="862"/>
      <c r="V780" s="862"/>
      <c r="W780" s="862">
        <f t="shared" si="198"/>
        <v>0</v>
      </c>
      <c r="X780" s="862">
        <f t="shared" si="199"/>
        <v>0</v>
      </c>
      <c r="Y780" s="862">
        <f t="shared" si="200"/>
        <v>0</v>
      </c>
    </row>
    <row r="781" spans="1:25" ht="31.5" hidden="1">
      <c r="A781" s="871">
        <v>6</v>
      </c>
      <c r="B781" s="883" t="s">
        <v>820</v>
      </c>
      <c r="C781" s="875"/>
      <c r="D781" s="871"/>
      <c r="E781" s="871"/>
      <c r="F781" s="884"/>
      <c r="G781" s="884"/>
      <c r="H781" s="884"/>
      <c r="I781" s="884"/>
      <c r="J781" s="884"/>
      <c r="K781" s="884"/>
      <c r="L781" s="884"/>
      <c r="M781" s="884"/>
      <c r="N781" s="884"/>
      <c r="O781" s="884"/>
      <c r="P781" s="884"/>
      <c r="Q781" s="884"/>
      <c r="R781" s="862">
        <f t="shared" si="191"/>
        <v>0</v>
      </c>
      <c r="S781" s="884"/>
      <c r="T781" s="884"/>
      <c r="U781" s="884"/>
      <c r="V781" s="884"/>
      <c r="W781" s="862">
        <f t="shared" si="198"/>
        <v>0</v>
      </c>
      <c r="X781" s="862">
        <f t="shared" si="199"/>
        <v>0</v>
      </c>
      <c r="Y781" s="862">
        <f t="shared" si="200"/>
        <v>0</v>
      </c>
    </row>
    <row r="782" spans="1:25" hidden="1">
      <c r="A782" s="870"/>
      <c r="B782" s="887" t="s">
        <v>821</v>
      </c>
      <c r="C782" s="876"/>
      <c r="D782" s="870"/>
      <c r="E782" s="870"/>
      <c r="F782" s="862"/>
      <c r="G782" s="862"/>
      <c r="H782" s="862"/>
      <c r="I782" s="862"/>
      <c r="J782" s="862"/>
      <c r="K782" s="862"/>
      <c r="L782" s="862"/>
      <c r="M782" s="862"/>
      <c r="N782" s="862"/>
      <c r="O782" s="862"/>
      <c r="P782" s="862"/>
      <c r="Q782" s="862"/>
      <c r="R782" s="862">
        <f t="shared" si="191"/>
        <v>0</v>
      </c>
      <c r="S782" s="862"/>
      <c r="T782" s="862"/>
      <c r="U782" s="862"/>
      <c r="V782" s="862"/>
      <c r="W782" s="862">
        <f t="shared" si="198"/>
        <v>0</v>
      </c>
      <c r="X782" s="862">
        <f t="shared" si="199"/>
        <v>0</v>
      </c>
      <c r="Y782" s="862">
        <f t="shared" si="200"/>
        <v>0</v>
      </c>
    </row>
    <row r="783" spans="1:25" hidden="1">
      <c r="A783" s="870"/>
      <c r="B783" s="887" t="s">
        <v>1046</v>
      </c>
      <c r="C783" s="876"/>
      <c r="D783" s="870"/>
      <c r="E783" s="870"/>
      <c r="F783" s="862"/>
      <c r="G783" s="862"/>
      <c r="H783" s="862"/>
      <c r="I783" s="862"/>
      <c r="J783" s="862"/>
      <c r="K783" s="862"/>
      <c r="L783" s="862"/>
      <c r="M783" s="862"/>
      <c r="N783" s="862"/>
      <c r="O783" s="862"/>
      <c r="P783" s="862"/>
      <c r="Q783" s="862"/>
      <c r="R783" s="862">
        <f t="shared" si="191"/>
        <v>0</v>
      </c>
      <c r="S783" s="862"/>
      <c r="T783" s="862"/>
      <c r="U783" s="862"/>
      <c r="V783" s="862"/>
      <c r="W783" s="862">
        <f t="shared" si="198"/>
        <v>0</v>
      </c>
      <c r="X783" s="862">
        <f t="shared" si="199"/>
        <v>0</v>
      </c>
      <c r="Y783" s="862">
        <f t="shared" si="200"/>
        <v>0</v>
      </c>
    </row>
    <row r="784" spans="1:25" hidden="1">
      <c r="A784" s="871">
        <v>7</v>
      </c>
      <c r="B784" s="883" t="s">
        <v>822</v>
      </c>
      <c r="C784" s="875"/>
      <c r="D784" s="871"/>
      <c r="E784" s="871"/>
      <c r="F784" s="884"/>
      <c r="G784" s="884"/>
      <c r="H784" s="884"/>
      <c r="I784" s="884"/>
      <c r="J784" s="884"/>
      <c r="K784" s="884"/>
      <c r="L784" s="884"/>
      <c r="M784" s="884"/>
      <c r="N784" s="884"/>
      <c r="O784" s="884"/>
      <c r="P784" s="884"/>
      <c r="Q784" s="884"/>
      <c r="R784" s="862">
        <f t="shared" si="191"/>
        <v>0</v>
      </c>
      <c r="S784" s="884"/>
      <c r="T784" s="884"/>
      <c r="U784" s="884"/>
      <c r="V784" s="884"/>
      <c r="W784" s="862">
        <f t="shared" si="198"/>
        <v>0</v>
      </c>
      <c r="X784" s="862">
        <f t="shared" si="199"/>
        <v>0</v>
      </c>
      <c r="Y784" s="862">
        <f t="shared" si="200"/>
        <v>0</v>
      </c>
    </row>
    <row r="785" spans="1:25" hidden="1">
      <c r="A785" s="870"/>
      <c r="B785" s="887" t="s">
        <v>821</v>
      </c>
      <c r="C785" s="876"/>
      <c r="D785" s="870"/>
      <c r="E785" s="870"/>
      <c r="F785" s="862"/>
      <c r="G785" s="862"/>
      <c r="H785" s="862"/>
      <c r="I785" s="862"/>
      <c r="J785" s="862"/>
      <c r="K785" s="862"/>
      <c r="L785" s="862"/>
      <c r="M785" s="862"/>
      <c r="N785" s="862"/>
      <c r="O785" s="862"/>
      <c r="P785" s="862"/>
      <c r="Q785" s="862"/>
      <c r="R785" s="862">
        <f t="shared" si="191"/>
        <v>0</v>
      </c>
      <c r="S785" s="862"/>
      <c r="T785" s="862"/>
      <c r="U785" s="862"/>
      <c r="V785" s="862"/>
      <c r="W785" s="862">
        <f t="shared" si="198"/>
        <v>0</v>
      </c>
      <c r="X785" s="862">
        <f t="shared" si="199"/>
        <v>0</v>
      </c>
      <c r="Y785" s="862"/>
    </row>
    <row r="786" spans="1:25" hidden="1">
      <c r="A786" s="870"/>
      <c r="B786" s="887" t="s">
        <v>1046</v>
      </c>
      <c r="C786" s="876"/>
      <c r="D786" s="870"/>
      <c r="E786" s="870"/>
      <c r="F786" s="862"/>
      <c r="G786" s="862"/>
      <c r="H786" s="862"/>
      <c r="I786" s="862"/>
      <c r="J786" s="862"/>
      <c r="K786" s="862"/>
      <c r="L786" s="862"/>
      <c r="M786" s="862"/>
      <c r="N786" s="862"/>
      <c r="O786" s="862"/>
      <c r="P786" s="862"/>
      <c r="Q786" s="862"/>
      <c r="R786" s="862">
        <f t="shared" si="191"/>
        <v>0</v>
      </c>
      <c r="S786" s="862"/>
      <c r="T786" s="862"/>
      <c r="U786" s="862"/>
      <c r="V786" s="862"/>
      <c r="W786" s="862">
        <f t="shared" si="198"/>
        <v>0</v>
      </c>
      <c r="X786" s="862">
        <f t="shared" si="199"/>
        <v>0</v>
      </c>
      <c r="Y786" s="862"/>
    </row>
    <row r="787" spans="1:25" hidden="1">
      <c r="A787" s="871"/>
      <c r="B787" s="883" t="s">
        <v>1302</v>
      </c>
      <c r="C787" s="871"/>
      <c r="D787" s="871"/>
      <c r="E787" s="871"/>
      <c r="F787" s="884"/>
      <c r="G787" s="884"/>
      <c r="H787" s="884"/>
      <c r="I787" s="884"/>
      <c r="J787" s="884"/>
      <c r="K787" s="884"/>
      <c r="L787" s="884"/>
      <c r="M787" s="884"/>
      <c r="N787" s="884"/>
      <c r="O787" s="884"/>
      <c r="P787" s="884"/>
      <c r="Q787" s="884"/>
      <c r="R787" s="862">
        <f t="shared" si="191"/>
        <v>0</v>
      </c>
      <c r="S787" s="884"/>
      <c r="T787" s="884"/>
      <c r="U787" s="884"/>
      <c r="V787" s="884"/>
      <c r="W787" s="862">
        <f t="shared" si="198"/>
        <v>0</v>
      </c>
      <c r="X787" s="884"/>
      <c r="Y787" s="884"/>
    </row>
    <row r="788" spans="1:25" ht="16.5" customHeight="1">
      <c r="A788" s="527"/>
      <c r="B788" s="527"/>
      <c r="C788" s="527"/>
      <c r="D788" s="527"/>
      <c r="E788" s="527"/>
      <c r="F788" s="528"/>
      <c r="G788" s="528"/>
      <c r="H788" s="528"/>
      <c r="I788" s="528"/>
      <c r="J788" s="528"/>
      <c r="K788" s="528"/>
      <c r="L788" s="528"/>
      <c r="M788" s="528"/>
      <c r="N788" s="528"/>
      <c r="O788" s="528"/>
      <c r="P788" s="528"/>
      <c r="Q788" s="528"/>
      <c r="R788" s="529"/>
      <c r="S788" s="528"/>
      <c r="T788" s="528"/>
      <c r="U788" s="528"/>
      <c r="V788" s="1070"/>
      <c r="W788" s="1070"/>
      <c r="X788" s="1070"/>
      <c r="Y788" s="1070"/>
    </row>
    <row r="789" spans="1:25" ht="15" hidden="1" customHeight="1">
      <c r="A789" s="530"/>
      <c r="B789" s="530"/>
      <c r="C789" s="530"/>
      <c r="D789" s="530"/>
      <c r="E789" s="530"/>
      <c r="F789" s="531"/>
      <c r="G789" s="531"/>
      <c r="H789" s="531"/>
      <c r="I789" s="531"/>
      <c r="J789" s="531"/>
      <c r="K789" s="531"/>
      <c r="L789" s="531"/>
      <c r="M789" s="531"/>
      <c r="N789" s="531"/>
      <c r="O789" s="531"/>
      <c r="P789" s="531"/>
      <c r="Q789" s="531"/>
      <c r="R789" s="532"/>
      <c r="S789" s="531"/>
      <c r="T789" s="531"/>
      <c r="U789" s="531"/>
      <c r="V789" s="1071"/>
      <c r="W789" s="1071"/>
      <c r="X789" s="1071"/>
      <c r="Y789" s="1071"/>
    </row>
    <row r="790" spans="1:25" ht="15.75" hidden="1" customHeight="1">
      <c r="A790" s="530"/>
      <c r="B790" s="530"/>
      <c r="C790" s="530"/>
      <c r="D790" s="530"/>
      <c r="E790" s="530"/>
      <c r="F790" s="531"/>
      <c r="G790" s="531"/>
      <c r="H790" s="531"/>
      <c r="I790" s="531"/>
      <c r="J790" s="531"/>
      <c r="K790" s="531"/>
      <c r="L790" s="531"/>
      <c r="M790" s="531"/>
      <c r="N790" s="531"/>
      <c r="O790" s="531"/>
      <c r="P790" s="531"/>
      <c r="Q790" s="531"/>
      <c r="R790" s="531"/>
      <c r="S790" s="531"/>
      <c r="T790" s="531"/>
      <c r="U790" s="531"/>
      <c r="V790" s="1071"/>
      <c r="W790" s="1071"/>
      <c r="X790" s="1071"/>
      <c r="Y790" s="1071"/>
    </row>
    <row r="791" spans="1:25" hidden="1">
      <c r="A791" s="516" t="s">
        <v>1303</v>
      </c>
      <c r="H791" s="510"/>
      <c r="I791" s="510"/>
      <c r="J791" s="510"/>
      <c r="K791" s="510"/>
      <c r="Q791" s="510"/>
      <c r="R791" s="517"/>
      <c r="S791" s="517"/>
      <c r="T791" s="517"/>
      <c r="W791" s="510"/>
      <c r="X791" s="510"/>
      <c r="Y791" s="510"/>
    </row>
    <row r="792" spans="1:25" hidden="1">
      <c r="A792" s="516" t="s">
        <v>1304</v>
      </c>
      <c r="H792" s="510"/>
      <c r="I792" s="510"/>
      <c r="J792" s="510"/>
      <c r="K792" s="510"/>
      <c r="Q792" s="510">
        <f t="shared" ref="Q792:V792" si="201">SUBTOTAL(9,Q141:Q772)</f>
        <v>8171819000000</v>
      </c>
      <c r="R792" s="510">
        <f t="shared" si="201"/>
        <v>7162789874316</v>
      </c>
      <c r="S792" s="510">
        <f t="shared" si="201"/>
        <v>6212965689992</v>
      </c>
      <c r="T792" s="510">
        <f t="shared" si="201"/>
        <v>949824184324</v>
      </c>
      <c r="U792" s="510">
        <f t="shared" si="201"/>
        <v>0</v>
      </c>
      <c r="V792" s="510">
        <f t="shared" si="201"/>
        <v>130172383160</v>
      </c>
      <c r="W792" s="510">
        <f>SUBTOTAL(9,W51:W611)</f>
        <v>8534779849669</v>
      </c>
      <c r="X792" s="510">
        <f>SUBTOTAL(9,X51:X611)</f>
        <v>1839666768095</v>
      </c>
      <c r="Y792" s="510"/>
    </row>
    <row r="793" spans="1:25" hidden="1">
      <c r="A793" s="516" t="s">
        <v>1305</v>
      </c>
      <c r="Q793" s="510"/>
      <c r="R793" s="517"/>
      <c r="S793" s="517"/>
      <c r="T793" s="517"/>
      <c r="W793" s="510"/>
      <c r="X793" s="510">
        <v>68600000</v>
      </c>
      <c r="Y793" s="510"/>
    </row>
    <row r="794" spans="1:25" hidden="1">
      <c r="A794" s="516"/>
      <c r="Q794" s="510"/>
      <c r="R794" s="510"/>
      <c r="S794" s="510"/>
      <c r="T794" s="510"/>
      <c r="U794" s="510"/>
      <c r="X794" s="510">
        <f>X792-X793</f>
        <v>1839598168095</v>
      </c>
    </row>
    <row r="795" spans="1:25" hidden="1">
      <c r="A795" s="518"/>
      <c r="B795" s="519"/>
      <c r="C795" s="519"/>
      <c r="D795" s="519"/>
      <c r="Q795" s="510"/>
      <c r="R795" s="520"/>
      <c r="S795" s="520"/>
      <c r="T795" s="520"/>
      <c r="U795" s="1072" t="s">
        <v>1306</v>
      </c>
      <c r="V795" s="1072"/>
      <c r="W795" s="1072"/>
      <c r="X795" s="1072"/>
      <c r="Y795" s="521"/>
    </row>
    <row r="796" spans="1:25" hidden="1">
      <c r="A796" s="1073" t="s">
        <v>1307</v>
      </c>
      <c r="B796" s="1073"/>
      <c r="C796" s="1073"/>
      <c r="D796" s="1073"/>
      <c r="E796" s="1073"/>
      <c r="F796" s="517"/>
      <c r="G796" s="510"/>
      <c r="H796" s="510">
        <f>SUBTOTAL(9,H141:H615)</f>
        <v>762055875201</v>
      </c>
      <c r="I796" s="510">
        <f>SUBTOTAL(9,I141:I615)</f>
        <v>10845227155</v>
      </c>
      <c r="J796" s="510">
        <f>SUBTOTAL(9,J141:J615)</f>
        <v>354093115215</v>
      </c>
      <c r="K796" s="510">
        <f>SUBTOTAL(9,K141:K615)</f>
        <v>1230092000000</v>
      </c>
      <c r="L796" s="510"/>
      <c r="M796" s="510"/>
      <c r="N796" s="510"/>
      <c r="O796" s="510"/>
      <c r="P796" s="510"/>
      <c r="Q796" s="510"/>
      <c r="R796" s="522"/>
      <c r="S796" s="522"/>
      <c r="T796" s="522"/>
      <c r="U796" s="1062" t="s">
        <v>1308</v>
      </c>
      <c r="V796" s="1062"/>
      <c r="W796" s="1062"/>
      <c r="X796" s="1062"/>
      <c r="Y796" s="523"/>
    </row>
    <row r="797" spans="1:25" hidden="1">
      <c r="A797" s="1068" t="s">
        <v>1309</v>
      </c>
      <c r="B797" s="1068"/>
      <c r="C797" s="1068"/>
      <c r="D797" s="1068"/>
      <c r="E797" s="1068"/>
      <c r="F797" s="517"/>
      <c r="G797" s="510"/>
      <c r="H797" s="510"/>
      <c r="I797" s="510"/>
      <c r="J797" s="510">
        <f>H796-I796-J796</f>
        <v>397117532831</v>
      </c>
      <c r="K797" s="510"/>
      <c r="L797" s="510"/>
      <c r="M797" s="510"/>
      <c r="N797" s="510"/>
      <c r="O797" s="510"/>
      <c r="P797" s="510"/>
      <c r="Q797" s="510"/>
      <c r="R797" s="524"/>
      <c r="S797" s="524"/>
      <c r="T797" s="524"/>
      <c r="U797" s="1069" t="s">
        <v>1310</v>
      </c>
      <c r="V797" s="1069"/>
      <c r="W797" s="1069"/>
      <c r="X797" s="1069"/>
      <c r="Y797" s="525"/>
    </row>
    <row r="798" spans="1:25" hidden="1">
      <c r="F798" s="517"/>
      <c r="G798" s="510"/>
      <c r="H798" s="510"/>
      <c r="I798" s="510"/>
      <c r="J798" s="510">
        <v>19500000</v>
      </c>
      <c r="K798" s="510"/>
      <c r="L798" s="510"/>
      <c r="M798" s="510"/>
      <c r="N798" s="510"/>
      <c r="O798" s="510"/>
      <c r="P798" s="510"/>
      <c r="Q798" s="510"/>
      <c r="R798" s="517"/>
      <c r="S798" s="517"/>
      <c r="T798" s="517"/>
      <c r="U798" s="510"/>
      <c r="V798" s="510"/>
      <c r="W798" s="510"/>
      <c r="X798" s="510"/>
    </row>
    <row r="799" spans="1:25" hidden="1">
      <c r="F799" s="517"/>
      <c r="G799" s="510"/>
      <c r="H799" s="510"/>
      <c r="I799" s="510"/>
      <c r="J799" s="510">
        <f>SUBTOTAL(9,J797:J798)</f>
        <v>397137032831</v>
      </c>
      <c r="K799" s="510"/>
      <c r="L799" s="510"/>
      <c r="M799" s="510"/>
      <c r="N799" s="510"/>
      <c r="O799" s="510"/>
      <c r="P799" s="510"/>
      <c r="Q799" s="510"/>
      <c r="R799" s="517"/>
      <c r="S799" s="517"/>
      <c r="T799" s="517"/>
      <c r="U799" s="510"/>
      <c r="V799" s="510"/>
      <c r="W799" s="510"/>
      <c r="X799" s="510"/>
    </row>
    <row r="800" spans="1:25" hidden="1">
      <c r="F800" s="517"/>
      <c r="G800" s="510"/>
      <c r="H800" s="510"/>
      <c r="I800" s="510"/>
      <c r="J800" s="510"/>
      <c r="K800" s="510"/>
      <c r="L800" s="510"/>
      <c r="M800" s="510"/>
      <c r="N800" s="510"/>
      <c r="O800" s="510"/>
      <c r="P800" s="510"/>
      <c r="Q800" s="510"/>
      <c r="R800" s="517"/>
      <c r="S800" s="517"/>
      <c r="T800" s="517"/>
      <c r="U800" s="510"/>
      <c r="V800" s="510"/>
      <c r="W800" s="510"/>
      <c r="X800" s="510"/>
    </row>
    <row r="801" spans="1:24" hidden="1">
      <c r="F801" s="517"/>
      <c r="G801" s="510"/>
      <c r="H801" s="510"/>
      <c r="I801" s="510"/>
      <c r="J801" s="510"/>
      <c r="K801" s="510"/>
      <c r="L801" s="510"/>
      <c r="M801" s="510"/>
      <c r="N801" s="510"/>
      <c r="O801" s="510"/>
      <c r="P801" s="510"/>
      <c r="Q801" s="510"/>
      <c r="R801" s="517"/>
      <c r="S801" s="517"/>
      <c r="T801" s="517"/>
      <c r="U801" s="510"/>
      <c r="V801" s="510"/>
      <c r="W801" s="510"/>
      <c r="X801" s="510"/>
    </row>
    <row r="802" spans="1:24" hidden="1">
      <c r="F802" s="517"/>
      <c r="G802" s="510"/>
      <c r="H802" s="510"/>
      <c r="I802" s="510"/>
      <c r="J802" s="510"/>
      <c r="K802" s="510"/>
      <c r="L802" s="510"/>
      <c r="M802" s="510"/>
      <c r="N802" s="510"/>
      <c r="O802" s="510"/>
      <c r="P802" s="510"/>
      <c r="Q802" s="510"/>
      <c r="R802" s="517"/>
      <c r="S802" s="517"/>
      <c r="T802" s="517"/>
      <c r="U802" s="510"/>
      <c r="V802" s="510"/>
      <c r="W802" s="510"/>
      <c r="X802" s="510"/>
    </row>
    <row r="803" spans="1:24" hidden="1">
      <c r="F803" s="517"/>
      <c r="G803" s="510"/>
      <c r="H803" s="510"/>
      <c r="I803" s="510"/>
      <c r="J803" s="510"/>
      <c r="K803" s="510"/>
      <c r="L803" s="510"/>
      <c r="M803" s="510"/>
      <c r="N803" s="510"/>
      <c r="O803" s="510"/>
      <c r="P803" s="510"/>
      <c r="Q803" s="510"/>
      <c r="R803" s="517"/>
      <c r="S803" s="517"/>
      <c r="T803" s="517"/>
      <c r="U803" s="510"/>
      <c r="V803" s="510"/>
      <c r="W803" s="510"/>
      <c r="X803" s="510"/>
    </row>
    <row r="804" spans="1:24" hidden="1">
      <c r="A804" s="505"/>
      <c r="B804" s="505"/>
      <c r="C804" s="505"/>
      <c r="D804" s="505"/>
      <c r="E804" s="505"/>
      <c r="F804" s="517"/>
      <c r="G804" s="510"/>
      <c r="H804" s="510"/>
      <c r="I804" s="510"/>
      <c r="J804" s="510"/>
      <c r="K804" s="510"/>
      <c r="L804" s="510"/>
      <c r="M804" s="510"/>
      <c r="N804" s="510"/>
      <c r="O804" s="510"/>
      <c r="P804" s="510"/>
      <c r="Q804" s="510"/>
      <c r="R804" s="517"/>
      <c r="S804" s="517"/>
      <c r="T804" s="517"/>
      <c r="U804" s="510"/>
      <c r="V804" s="510"/>
      <c r="W804" s="510"/>
      <c r="X804" s="510"/>
    </row>
    <row r="805" spans="1:24" hidden="1">
      <c r="A805" s="505"/>
      <c r="B805" s="505"/>
      <c r="C805" s="505"/>
      <c r="D805" s="505"/>
      <c r="E805" s="505"/>
      <c r="F805" s="517"/>
      <c r="G805" s="510"/>
      <c r="H805" s="510"/>
      <c r="I805" s="510"/>
      <c r="J805" s="510"/>
      <c r="K805" s="510"/>
      <c r="L805" s="510"/>
      <c r="M805" s="510"/>
      <c r="N805" s="510"/>
      <c r="O805" s="510"/>
      <c r="P805" s="510"/>
      <c r="Q805" s="510"/>
      <c r="R805" s="517"/>
      <c r="S805" s="517"/>
      <c r="T805" s="517"/>
      <c r="U805" s="510"/>
      <c r="V805" s="510"/>
      <c r="W805" s="510"/>
      <c r="X805" s="510"/>
    </row>
    <row r="806" spans="1:24">
      <c r="A806" s="505"/>
      <c r="B806" s="505"/>
      <c r="C806" s="505"/>
      <c r="D806" s="505"/>
      <c r="E806" s="505"/>
      <c r="F806" s="517"/>
      <c r="G806" s="510"/>
      <c r="H806" s="510"/>
      <c r="I806" s="510"/>
      <c r="J806" s="510"/>
      <c r="K806" s="510"/>
      <c r="L806" s="510"/>
      <c r="M806" s="510"/>
      <c r="N806" s="510"/>
      <c r="O806" s="510"/>
      <c r="P806" s="510"/>
      <c r="Q806" s="510"/>
      <c r="R806" s="517"/>
      <c r="S806" s="517"/>
      <c r="T806" s="517"/>
      <c r="U806" s="510"/>
      <c r="V806" s="510"/>
      <c r="W806" s="510"/>
      <c r="X806" s="510"/>
    </row>
    <row r="807" spans="1:24">
      <c r="A807" s="505"/>
      <c r="B807" s="505"/>
      <c r="C807" s="505"/>
      <c r="D807" s="505"/>
      <c r="E807" s="505"/>
      <c r="F807" s="517"/>
      <c r="G807" s="510"/>
      <c r="H807" s="510"/>
      <c r="I807" s="510"/>
      <c r="J807" s="510"/>
      <c r="K807" s="510"/>
      <c r="L807" s="510"/>
      <c r="M807" s="510"/>
      <c r="N807" s="510"/>
      <c r="O807" s="510"/>
      <c r="P807" s="510"/>
      <c r="Q807" s="510"/>
      <c r="R807" s="517"/>
      <c r="S807" s="517"/>
      <c r="T807" s="517"/>
      <c r="U807" s="510"/>
      <c r="V807" s="510"/>
      <c r="W807" s="510"/>
      <c r="X807" s="510"/>
    </row>
    <row r="808" spans="1:24">
      <c r="A808" s="505"/>
      <c r="B808" s="505"/>
      <c r="C808" s="505"/>
      <c r="D808" s="505"/>
      <c r="E808" s="505"/>
      <c r="F808" s="517"/>
      <c r="G808" s="510"/>
      <c r="H808" s="510"/>
      <c r="I808" s="510"/>
      <c r="J808" s="510"/>
      <c r="K808" s="510"/>
      <c r="L808" s="510"/>
      <c r="M808" s="510"/>
      <c r="N808" s="510"/>
      <c r="O808" s="510"/>
      <c r="P808" s="510"/>
      <c r="Q808" s="510"/>
      <c r="R808" s="517"/>
      <c r="S808" s="517"/>
      <c r="T808" s="517"/>
      <c r="U808" s="510"/>
      <c r="V808" s="510"/>
      <c r="W808" s="510"/>
      <c r="X808" s="510"/>
    </row>
    <row r="809" spans="1:24">
      <c r="A809" s="505"/>
      <c r="B809" s="505"/>
      <c r="C809" s="505"/>
      <c r="D809" s="505"/>
      <c r="E809" s="505"/>
      <c r="F809" s="517"/>
      <c r="G809" s="510"/>
      <c r="H809" s="510"/>
      <c r="I809" s="510"/>
      <c r="J809" s="510"/>
      <c r="K809" s="510"/>
      <c r="L809" s="510"/>
      <c r="M809" s="510"/>
      <c r="N809" s="510"/>
      <c r="O809" s="510"/>
      <c r="P809" s="510"/>
      <c r="Q809" s="510"/>
      <c r="R809" s="517"/>
      <c r="S809" s="517"/>
      <c r="T809" s="517"/>
      <c r="U809" s="510"/>
      <c r="V809" s="510"/>
      <c r="W809" s="510"/>
      <c r="X809" s="510"/>
    </row>
    <row r="810" spans="1:24">
      <c r="A810" s="505"/>
      <c r="B810" s="505"/>
      <c r="C810" s="505"/>
      <c r="D810" s="505"/>
      <c r="E810" s="505"/>
      <c r="F810" s="517"/>
      <c r="G810" s="510"/>
      <c r="H810" s="510"/>
      <c r="I810" s="510"/>
      <c r="J810" s="510"/>
      <c r="K810" s="510"/>
      <c r="L810" s="510"/>
      <c r="M810" s="510"/>
      <c r="N810" s="510"/>
      <c r="O810" s="510"/>
      <c r="P810" s="510"/>
      <c r="Q810" s="510"/>
      <c r="R810" s="517"/>
      <c r="S810" s="517"/>
      <c r="T810" s="517"/>
      <c r="U810" s="510"/>
      <c r="V810" s="510"/>
      <c r="W810" s="510"/>
      <c r="X810" s="510"/>
    </row>
    <row r="811" spans="1:24">
      <c r="A811" s="505"/>
      <c r="B811" s="505"/>
      <c r="C811" s="505"/>
      <c r="D811" s="505"/>
      <c r="E811" s="505"/>
      <c r="F811" s="517"/>
      <c r="G811" s="510"/>
      <c r="H811" s="510"/>
      <c r="I811" s="510"/>
      <c r="J811" s="510"/>
      <c r="K811" s="510"/>
      <c r="L811" s="510"/>
      <c r="M811" s="510"/>
      <c r="N811" s="510"/>
      <c r="O811" s="510"/>
      <c r="P811" s="510"/>
      <c r="Q811" s="510"/>
      <c r="R811" s="517"/>
      <c r="S811" s="517"/>
      <c r="T811" s="517"/>
      <c r="U811" s="510"/>
      <c r="V811" s="510"/>
      <c r="W811" s="510"/>
      <c r="X811" s="510"/>
    </row>
    <row r="812" spans="1:24">
      <c r="A812" s="505"/>
      <c r="B812" s="505"/>
      <c r="C812" s="505"/>
      <c r="D812" s="505"/>
      <c r="E812" s="505"/>
      <c r="F812" s="517"/>
      <c r="G812" s="510"/>
      <c r="H812" s="510"/>
      <c r="I812" s="510"/>
      <c r="J812" s="510"/>
      <c r="K812" s="510"/>
      <c r="L812" s="510"/>
      <c r="M812" s="510"/>
      <c r="N812" s="510"/>
      <c r="O812" s="510"/>
      <c r="P812" s="510"/>
      <c r="Q812" s="510"/>
      <c r="R812" s="517"/>
      <c r="S812" s="517"/>
      <c r="T812" s="517"/>
      <c r="U812" s="510"/>
      <c r="V812" s="510"/>
      <c r="W812" s="510"/>
      <c r="X812" s="510"/>
    </row>
    <row r="813" spans="1:24">
      <c r="A813" s="505"/>
      <c r="B813" s="505"/>
      <c r="C813" s="505"/>
      <c r="D813" s="505"/>
      <c r="E813" s="505"/>
      <c r="F813" s="517"/>
      <c r="G813" s="510"/>
      <c r="H813" s="510"/>
      <c r="I813" s="510"/>
      <c r="J813" s="510"/>
      <c r="K813" s="510"/>
      <c r="L813" s="510"/>
      <c r="M813" s="510"/>
      <c r="N813" s="510"/>
      <c r="O813" s="510"/>
      <c r="P813" s="510"/>
      <c r="Q813" s="510"/>
      <c r="R813" s="517"/>
      <c r="S813" s="517"/>
      <c r="T813" s="517"/>
      <c r="U813" s="510"/>
      <c r="V813" s="510"/>
      <c r="W813" s="510"/>
      <c r="X813" s="510"/>
    </row>
    <row r="814" spans="1:24">
      <c r="A814" s="505"/>
      <c r="B814" s="505"/>
      <c r="C814" s="505"/>
      <c r="D814" s="505"/>
      <c r="E814" s="505"/>
      <c r="F814" s="517"/>
      <c r="G814" s="510"/>
      <c r="H814" s="510"/>
      <c r="I814" s="510"/>
      <c r="J814" s="510"/>
      <c r="K814" s="510"/>
      <c r="L814" s="510"/>
      <c r="M814" s="510"/>
      <c r="N814" s="510"/>
      <c r="O814" s="510"/>
      <c r="P814" s="510"/>
      <c r="Q814" s="510"/>
      <c r="R814" s="517"/>
      <c r="S814" s="517"/>
      <c r="T814" s="517"/>
      <c r="U814" s="510"/>
      <c r="V814" s="510"/>
      <c r="W814" s="510"/>
      <c r="X814" s="510"/>
    </row>
    <row r="815" spans="1:24">
      <c r="A815" s="505"/>
      <c r="B815" s="505"/>
      <c r="C815" s="505"/>
      <c r="D815" s="505"/>
      <c r="E815" s="505"/>
      <c r="P815" s="510"/>
      <c r="Q815" s="510"/>
      <c r="R815" s="517"/>
      <c r="S815" s="517"/>
      <c r="T815" s="517"/>
      <c r="U815" s="510"/>
      <c r="V815" s="510"/>
      <c r="W815" s="510"/>
      <c r="X815" s="510"/>
    </row>
    <row r="816" spans="1:24">
      <c r="A816" s="505"/>
      <c r="B816" s="505"/>
      <c r="C816" s="505"/>
      <c r="D816" s="505"/>
      <c r="E816" s="505"/>
      <c r="P816" s="510"/>
      <c r="Q816" s="510"/>
      <c r="R816" s="517"/>
      <c r="S816" s="517"/>
      <c r="T816" s="517"/>
      <c r="U816" s="510"/>
      <c r="V816" s="510"/>
      <c r="W816" s="510"/>
      <c r="X816" s="510"/>
    </row>
    <row r="817" spans="1:24">
      <c r="A817" s="505"/>
      <c r="B817" s="505"/>
      <c r="C817" s="505"/>
      <c r="D817" s="505"/>
      <c r="E817" s="505"/>
      <c r="P817" s="510"/>
      <c r="Q817" s="510"/>
      <c r="R817" s="517"/>
      <c r="S817" s="517"/>
      <c r="T817" s="517"/>
      <c r="U817" s="510"/>
      <c r="V817" s="510"/>
      <c r="W817" s="510"/>
      <c r="X817" s="510"/>
    </row>
    <row r="818" spans="1:24">
      <c r="A818" s="505"/>
      <c r="B818" s="505"/>
      <c r="C818" s="505"/>
      <c r="D818" s="505"/>
      <c r="E818" s="505"/>
      <c r="P818" s="510"/>
      <c r="Q818" s="510"/>
      <c r="R818" s="517"/>
      <c r="S818" s="517"/>
      <c r="T818" s="517"/>
      <c r="U818" s="510"/>
      <c r="V818" s="510"/>
      <c r="W818" s="510"/>
      <c r="X818" s="510"/>
    </row>
    <row r="819" spans="1:24">
      <c r="A819" s="505"/>
      <c r="B819" s="505"/>
      <c r="C819" s="505"/>
      <c r="D819" s="505"/>
      <c r="E819" s="505"/>
      <c r="P819" s="510"/>
      <c r="Q819" s="510"/>
      <c r="R819" s="517"/>
      <c r="S819" s="517"/>
      <c r="T819" s="517"/>
      <c r="U819" s="510"/>
      <c r="V819" s="510"/>
      <c r="W819" s="510"/>
      <c r="X819" s="510"/>
    </row>
    <row r="820" spans="1:24">
      <c r="A820" s="505"/>
      <c r="B820" s="505"/>
      <c r="C820" s="505"/>
      <c r="D820" s="505"/>
      <c r="E820" s="505"/>
      <c r="F820" s="505"/>
      <c r="P820" s="510"/>
      <c r="Q820" s="510"/>
      <c r="R820" s="517"/>
      <c r="S820" s="517"/>
      <c r="T820" s="517"/>
      <c r="U820" s="510"/>
      <c r="V820" s="510"/>
      <c r="W820" s="510"/>
      <c r="X820" s="510"/>
    </row>
    <row r="821" spans="1:24">
      <c r="A821" s="505"/>
      <c r="B821" s="505"/>
      <c r="C821" s="505"/>
      <c r="D821" s="505"/>
      <c r="E821" s="505"/>
      <c r="F821" s="505"/>
      <c r="P821" s="510"/>
      <c r="Q821" s="510"/>
      <c r="R821" s="517"/>
      <c r="S821" s="517"/>
      <c r="T821" s="517"/>
      <c r="U821" s="510"/>
      <c r="V821" s="510"/>
      <c r="W821" s="510"/>
      <c r="X821" s="510"/>
    </row>
    <row r="822" spans="1:24">
      <c r="A822" s="505"/>
      <c r="B822" s="505"/>
      <c r="C822" s="505"/>
      <c r="D822" s="505"/>
      <c r="E822" s="505"/>
      <c r="F822" s="505"/>
      <c r="P822" s="510"/>
      <c r="Q822" s="510"/>
      <c r="R822" s="517"/>
      <c r="S822" s="517"/>
      <c r="T822" s="517"/>
      <c r="U822" s="510"/>
      <c r="V822" s="510"/>
      <c r="W822" s="510"/>
      <c r="X822" s="510"/>
    </row>
    <row r="823" spans="1:24">
      <c r="A823" s="505"/>
      <c r="B823" s="505"/>
      <c r="C823" s="505"/>
      <c r="D823" s="505"/>
      <c r="E823" s="505"/>
      <c r="F823" s="505"/>
      <c r="P823" s="510"/>
      <c r="Q823" s="510"/>
      <c r="R823" s="517"/>
      <c r="S823" s="517"/>
      <c r="T823" s="517"/>
      <c r="U823" s="510"/>
      <c r="V823" s="510"/>
      <c r="W823" s="510"/>
      <c r="X823" s="510"/>
    </row>
    <row r="824" spans="1:24">
      <c r="A824" s="505"/>
      <c r="B824" s="505"/>
      <c r="C824" s="505"/>
      <c r="D824" s="505"/>
      <c r="E824" s="505"/>
      <c r="F824" s="505"/>
      <c r="P824" s="510"/>
      <c r="Q824" s="510"/>
      <c r="R824" s="517"/>
      <c r="S824" s="517"/>
      <c r="T824" s="517"/>
      <c r="U824" s="510"/>
      <c r="V824" s="510"/>
      <c r="W824" s="510"/>
      <c r="X824" s="510"/>
    </row>
    <row r="825" spans="1:24">
      <c r="A825" s="505"/>
      <c r="B825" s="505"/>
      <c r="C825" s="505"/>
      <c r="D825" s="505"/>
      <c r="E825" s="505"/>
      <c r="F825" s="505"/>
      <c r="P825" s="510"/>
      <c r="Q825" s="510"/>
      <c r="R825" s="517"/>
      <c r="S825" s="517"/>
      <c r="T825" s="517"/>
      <c r="U825" s="510"/>
      <c r="V825" s="510"/>
      <c r="W825" s="510"/>
      <c r="X825" s="510"/>
    </row>
    <row r="826" spans="1:24">
      <c r="A826" s="505"/>
      <c r="B826" s="505"/>
      <c r="C826" s="505"/>
      <c r="D826" s="505"/>
      <c r="E826" s="505"/>
      <c r="F826" s="505"/>
      <c r="P826" s="510"/>
      <c r="Q826" s="510"/>
      <c r="R826" s="517"/>
      <c r="S826" s="517"/>
      <c r="T826" s="517"/>
      <c r="U826" s="510"/>
      <c r="V826" s="510"/>
      <c r="W826" s="510"/>
      <c r="X826" s="510"/>
    </row>
    <row r="827" spans="1:24">
      <c r="A827" s="505"/>
      <c r="B827" s="505"/>
      <c r="C827" s="505"/>
      <c r="D827" s="505"/>
      <c r="E827" s="505"/>
      <c r="F827" s="505"/>
      <c r="P827" s="510"/>
      <c r="Q827" s="510"/>
      <c r="R827" s="517"/>
      <c r="S827" s="517"/>
      <c r="T827" s="517"/>
      <c r="U827" s="510"/>
      <c r="V827" s="510"/>
      <c r="W827" s="510"/>
      <c r="X827" s="510"/>
    </row>
    <row r="828" spans="1:24">
      <c r="A828" s="505"/>
      <c r="B828" s="505"/>
      <c r="C828" s="505"/>
      <c r="D828" s="505"/>
      <c r="E828" s="505"/>
      <c r="F828" s="505"/>
      <c r="P828" s="510"/>
      <c r="Q828" s="510"/>
      <c r="R828" s="517"/>
      <c r="S828" s="517"/>
      <c r="T828" s="517"/>
      <c r="U828" s="510"/>
      <c r="V828" s="510"/>
      <c r="W828" s="510"/>
      <c r="X828" s="510"/>
    </row>
    <row r="829" spans="1:24">
      <c r="A829" s="505"/>
      <c r="B829" s="505"/>
      <c r="C829" s="505"/>
      <c r="D829" s="505"/>
      <c r="E829" s="505"/>
      <c r="F829" s="505"/>
      <c r="P829" s="510"/>
      <c r="Q829" s="510"/>
      <c r="R829" s="526"/>
      <c r="S829" s="526"/>
      <c r="T829" s="526"/>
      <c r="U829" s="510"/>
      <c r="V829" s="510"/>
      <c r="W829" s="510"/>
      <c r="X829" s="510"/>
    </row>
    <row r="830" spans="1:24">
      <c r="A830" s="505"/>
      <c r="B830" s="505"/>
      <c r="C830" s="505"/>
      <c r="D830" s="505"/>
      <c r="E830" s="505"/>
      <c r="F830" s="505"/>
      <c r="P830" s="510"/>
      <c r="Q830" s="510"/>
      <c r="R830" s="517"/>
      <c r="S830" s="517"/>
      <c r="T830" s="517"/>
      <c r="U830" s="510"/>
      <c r="V830" s="510"/>
      <c r="W830" s="510"/>
      <c r="X830" s="510"/>
    </row>
    <row r="831" spans="1:24">
      <c r="A831" s="505"/>
      <c r="B831" s="505"/>
      <c r="C831" s="505"/>
      <c r="D831" s="505"/>
      <c r="E831" s="505"/>
      <c r="F831" s="505"/>
      <c r="P831" s="510"/>
      <c r="Q831" s="510"/>
      <c r="R831" s="517"/>
      <c r="S831" s="517"/>
      <c r="T831" s="517"/>
      <c r="U831" s="510"/>
      <c r="V831" s="510"/>
      <c r="W831" s="510"/>
      <c r="X831" s="510"/>
    </row>
    <row r="832" spans="1:24">
      <c r="A832" s="505"/>
      <c r="B832" s="505"/>
      <c r="C832" s="505"/>
      <c r="D832" s="505"/>
      <c r="E832" s="505"/>
      <c r="F832" s="505"/>
      <c r="P832" s="510"/>
      <c r="Q832" s="510"/>
      <c r="R832" s="517"/>
      <c r="S832" s="517"/>
      <c r="T832" s="517"/>
      <c r="U832" s="510"/>
      <c r="V832" s="510"/>
      <c r="W832" s="510"/>
      <c r="X832" s="510"/>
    </row>
    <row r="833" spans="1:24">
      <c r="A833" s="505"/>
      <c r="B833" s="505"/>
      <c r="C833" s="505"/>
      <c r="D833" s="505"/>
      <c r="E833" s="505"/>
      <c r="F833" s="505"/>
      <c r="P833" s="510"/>
      <c r="Q833" s="510"/>
      <c r="R833" s="517"/>
      <c r="S833" s="517"/>
      <c r="T833" s="517"/>
      <c r="U833" s="510"/>
      <c r="V833" s="510"/>
      <c r="W833" s="510"/>
      <c r="X833" s="510"/>
    </row>
    <row r="834" spans="1:24">
      <c r="A834" s="505"/>
      <c r="B834" s="505"/>
      <c r="C834" s="505"/>
      <c r="D834" s="505"/>
      <c r="E834" s="505"/>
      <c r="F834" s="505"/>
      <c r="P834" s="510"/>
      <c r="Q834" s="510"/>
      <c r="R834" s="517"/>
      <c r="S834" s="517"/>
      <c r="T834" s="517"/>
      <c r="U834" s="510"/>
      <c r="V834" s="510"/>
      <c r="W834" s="510"/>
      <c r="X834" s="510"/>
    </row>
    <row r="835" spans="1:24">
      <c r="A835" s="505"/>
      <c r="B835" s="505"/>
      <c r="C835" s="505"/>
      <c r="D835" s="505"/>
      <c r="E835" s="505"/>
      <c r="F835" s="505"/>
      <c r="P835" s="510"/>
      <c r="Q835" s="510"/>
      <c r="R835" s="517"/>
      <c r="S835" s="517"/>
      <c r="T835" s="517"/>
      <c r="U835" s="510"/>
      <c r="V835" s="510"/>
      <c r="W835" s="510"/>
      <c r="X835" s="510"/>
    </row>
    <row r="836" spans="1:24">
      <c r="A836" s="505"/>
      <c r="B836" s="505"/>
      <c r="C836" s="505"/>
      <c r="D836" s="505"/>
      <c r="E836" s="505"/>
      <c r="F836" s="505"/>
      <c r="P836" s="510"/>
      <c r="Q836" s="510"/>
      <c r="R836" s="517"/>
      <c r="S836" s="517"/>
      <c r="T836" s="517"/>
      <c r="U836" s="510"/>
      <c r="V836" s="510"/>
      <c r="W836" s="510"/>
      <c r="X836" s="510"/>
    </row>
    <row r="837" spans="1:24">
      <c r="A837" s="505"/>
      <c r="B837" s="505"/>
      <c r="C837" s="505"/>
      <c r="D837" s="505"/>
      <c r="E837" s="505"/>
      <c r="F837" s="505"/>
      <c r="P837" s="510"/>
      <c r="Q837" s="510"/>
      <c r="R837" s="517"/>
      <c r="S837" s="517"/>
      <c r="T837" s="517"/>
      <c r="U837" s="510"/>
      <c r="V837" s="510"/>
      <c r="W837" s="510"/>
      <c r="X837" s="510"/>
    </row>
    <row r="838" spans="1:24">
      <c r="A838" s="505"/>
      <c r="B838" s="505"/>
      <c r="C838" s="505"/>
      <c r="D838" s="505"/>
      <c r="E838" s="505"/>
      <c r="F838" s="505"/>
      <c r="P838" s="510"/>
      <c r="Q838" s="510"/>
      <c r="R838" s="517"/>
      <c r="S838" s="517"/>
      <c r="T838" s="517"/>
      <c r="U838" s="510"/>
      <c r="V838" s="510"/>
      <c r="W838" s="510"/>
      <c r="X838" s="510"/>
    </row>
    <row r="839" spans="1:24">
      <c r="A839" s="505"/>
      <c r="B839" s="505"/>
      <c r="C839" s="505"/>
      <c r="D839" s="505"/>
      <c r="E839" s="505"/>
      <c r="F839" s="505"/>
      <c r="P839" s="510"/>
      <c r="Q839" s="510"/>
      <c r="R839" s="517"/>
      <c r="S839" s="517"/>
      <c r="T839" s="517"/>
      <c r="U839" s="510"/>
      <c r="V839" s="510"/>
      <c r="W839" s="510"/>
      <c r="X839" s="510"/>
    </row>
  </sheetData>
  <mergeCells count="37">
    <mergeCell ref="O9:O10"/>
    <mergeCell ref="A5:Y5"/>
    <mergeCell ref="Q9:Q10"/>
    <mergeCell ref="R9:T9"/>
    <mergeCell ref="P9:P10"/>
    <mergeCell ref="A4:Y4"/>
    <mergeCell ref="A797:E797"/>
    <mergeCell ref="U797:X797"/>
    <mergeCell ref="Q8:V8"/>
    <mergeCell ref="W8:W10"/>
    <mergeCell ref="X8:X10"/>
    <mergeCell ref="V788:Y788"/>
    <mergeCell ref="V789:Y789"/>
    <mergeCell ref="V790:Y790"/>
    <mergeCell ref="U9:U10"/>
    <mergeCell ref="V9:V10"/>
    <mergeCell ref="U795:X795"/>
    <mergeCell ref="A796:E796"/>
    <mergeCell ref="Y8:Y10"/>
    <mergeCell ref="K9:K10"/>
    <mergeCell ref="L9:N9"/>
    <mergeCell ref="V1:Y1"/>
    <mergeCell ref="A2:D2"/>
    <mergeCell ref="W2:Y2"/>
    <mergeCell ref="A3:D3"/>
    <mergeCell ref="U796:X796"/>
    <mergeCell ref="W7:Y7"/>
    <mergeCell ref="A8:A10"/>
    <mergeCell ref="B8:B10"/>
    <mergeCell ref="D8:D10"/>
    <mergeCell ref="E8:E10"/>
    <mergeCell ref="F8:F10"/>
    <mergeCell ref="G8:H9"/>
    <mergeCell ref="I8:I10"/>
    <mergeCell ref="J8:J10"/>
    <mergeCell ref="K8:P8"/>
    <mergeCell ref="N7:P7"/>
  </mergeCells>
  <printOptions horizontalCentered="1"/>
  <pageMargins left="0.19685039370078741" right="0.19685039370078741" top="0.59055118110236227" bottom="0.59055118110236227" header="0" footer="0.22"/>
  <pageSetup paperSize="8" orientation="landscape" r:id="rId1"/>
  <headerFooter differentFirst="1">
    <oddFooter>&amp;C&amp;"Times New Roman,Regular"&amp;12&amp;P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41"/>
  <sheetViews>
    <sheetView tabSelected="1" topLeftCell="A75" zoomScale="130" zoomScaleNormal="130" workbookViewId="0">
      <selection activeCell="A124" sqref="A124"/>
    </sheetView>
  </sheetViews>
  <sheetFormatPr defaultRowHeight="15.75"/>
  <cols>
    <col min="1" max="1" width="48.28515625" style="138" customWidth="1"/>
    <col min="2" max="2" width="13.28515625" style="138" hidden="1" customWidth="1"/>
    <col min="3" max="3" width="8.42578125" style="138" customWidth="1"/>
    <col min="4" max="4" width="11.42578125" style="138" customWidth="1"/>
    <col min="5" max="5" width="11.28515625" style="138" customWidth="1"/>
    <col min="6" max="6" width="12" style="138" hidden="1" customWidth="1"/>
    <col min="7" max="8" width="13" style="138" hidden="1" customWidth="1"/>
    <col min="9" max="9" width="13.42578125" style="138" hidden="1" customWidth="1"/>
    <col min="10" max="10" width="9" style="138" customWidth="1"/>
    <col min="11" max="11" width="9" style="139" customWidth="1"/>
    <col min="12" max="12" width="0" style="139" hidden="1" customWidth="1"/>
    <col min="13" max="13" width="16" style="139" hidden="1" customWidth="1"/>
    <col min="14" max="14" width="17" style="139" hidden="1" customWidth="1"/>
    <col min="15" max="15" width="14.42578125" style="139" hidden="1" customWidth="1"/>
    <col min="16" max="16" width="13.28515625" style="139" hidden="1" customWidth="1"/>
    <col min="17" max="17" width="0" style="139" hidden="1" customWidth="1"/>
    <col min="18" max="18" width="14.5703125" style="139" bestFit="1" customWidth="1"/>
    <col min="19" max="16384" width="9.140625" style="139"/>
  </cols>
  <sheetData>
    <row r="1" spans="1:18" ht="17.100000000000001" customHeight="1">
      <c r="A1" s="711" t="s">
        <v>1591</v>
      </c>
      <c r="B1" s="712"/>
      <c r="C1" s="712"/>
      <c r="D1" s="712"/>
      <c r="E1" s="994" t="s">
        <v>1596</v>
      </c>
      <c r="F1" s="994"/>
      <c r="G1" s="994"/>
      <c r="H1" s="994"/>
      <c r="I1" s="994"/>
      <c r="J1" s="994"/>
      <c r="K1" s="994"/>
    </row>
    <row r="2" spans="1:18" ht="17.100000000000001" customHeight="1">
      <c r="A2" s="711" t="s">
        <v>1592</v>
      </c>
      <c r="B2" s="712"/>
      <c r="C2" s="712"/>
      <c r="D2" s="712"/>
      <c r="E2" s="712"/>
      <c r="F2" s="712"/>
      <c r="G2" s="712"/>
      <c r="H2" s="712"/>
      <c r="I2" s="713"/>
      <c r="J2" s="713"/>
      <c r="K2" s="714"/>
      <c r="L2" s="140"/>
      <c r="M2" s="142">
        <v>14244945.773980999</v>
      </c>
      <c r="N2" s="142">
        <v>8530937.6147980001</v>
      </c>
      <c r="O2" s="142">
        <f>+N4-N2</f>
        <v>21016.874656999484</v>
      </c>
      <c r="P2" s="142">
        <f>+G10-N2</f>
        <v>363195</v>
      </c>
    </row>
    <row r="3" spans="1:18" ht="27" customHeight="1">
      <c r="A3" s="711"/>
      <c r="B3" s="712"/>
      <c r="C3" s="712"/>
      <c r="D3" s="712"/>
      <c r="E3" s="712"/>
      <c r="F3" s="712"/>
      <c r="G3" s="712"/>
      <c r="H3" s="712"/>
      <c r="I3" s="713"/>
      <c r="J3" s="713"/>
      <c r="K3" s="714"/>
      <c r="L3" s="140"/>
      <c r="M3" s="142"/>
      <c r="N3" s="142"/>
      <c r="O3" s="142"/>
      <c r="P3" s="142"/>
    </row>
    <row r="4" spans="1:18" ht="24" customHeight="1">
      <c r="A4" s="996" t="s">
        <v>1330</v>
      </c>
      <c r="B4" s="996"/>
      <c r="C4" s="996"/>
      <c r="D4" s="996"/>
      <c r="E4" s="996"/>
      <c r="F4" s="996"/>
      <c r="G4" s="996"/>
      <c r="H4" s="996"/>
      <c r="I4" s="996"/>
      <c r="J4" s="996"/>
      <c r="K4" s="996"/>
      <c r="L4" s="141"/>
      <c r="M4" s="486">
        <f>D10-M2</f>
        <v>390160.00000000186</v>
      </c>
      <c r="N4" s="139">
        <v>8551954.4894549996</v>
      </c>
      <c r="O4" s="139">
        <v>3214</v>
      </c>
    </row>
    <row r="5" spans="1:18" ht="24" customHeight="1">
      <c r="A5" s="997" t="s">
        <v>1598</v>
      </c>
      <c r="B5" s="997"/>
      <c r="C5" s="997"/>
      <c r="D5" s="997"/>
      <c r="E5" s="997"/>
      <c r="F5" s="997"/>
      <c r="G5" s="997"/>
      <c r="H5" s="997"/>
      <c r="I5" s="997"/>
      <c r="J5" s="997"/>
      <c r="K5" s="997"/>
      <c r="L5" s="141"/>
      <c r="M5" s="486"/>
    </row>
    <row r="6" spans="1:18" ht="24" customHeight="1">
      <c r="A6" s="715"/>
      <c r="B6" s="715"/>
      <c r="C6" s="715"/>
      <c r="D6" s="715"/>
      <c r="E6" s="715"/>
      <c r="F6" s="715"/>
      <c r="G6" s="715"/>
      <c r="H6" s="715"/>
      <c r="I6" s="715"/>
      <c r="J6" s="715"/>
      <c r="K6" s="715"/>
      <c r="L6" s="141"/>
      <c r="M6" s="486"/>
    </row>
    <row r="7" spans="1:18" ht="22.5" customHeight="1">
      <c r="E7" s="998" t="s">
        <v>38</v>
      </c>
      <c r="F7" s="998"/>
      <c r="G7" s="998"/>
      <c r="H7" s="998"/>
      <c r="I7" s="998"/>
      <c r="J7" s="998"/>
      <c r="K7" s="998"/>
      <c r="L7" s="140"/>
      <c r="N7" s="142">
        <f>+G10-N2</f>
        <v>363195</v>
      </c>
      <c r="O7" s="142">
        <f>+O2+O4</f>
        <v>24230.874656999484</v>
      </c>
    </row>
    <row r="8" spans="1:18" ht="49.5" customHeight="1">
      <c r="A8" s="981" t="s">
        <v>144</v>
      </c>
      <c r="B8" s="999" t="s">
        <v>1314</v>
      </c>
      <c r="C8" s="999"/>
      <c r="D8" s="981" t="s">
        <v>1367</v>
      </c>
      <c r="E8" s="981" t="s">
        <v>1366</v>
      </c>
      <c r="F8" s="999" t="s">
        <v>179</v>
      </c>
      <c r="G8" s="999"/>
      <c r="H8" s="999"/>
      <c r="I8" s="999"/>
      <c r="J8" s="999" t="s">
        <v>1327</v>
      </c>
      <c r="K8" s="999"/>
      <c r="L8" s="145"/>
      <c r="M8" s="139">
        <v>1695</v>
      </c>
      <c r="R8" s="142"/>
    </row>
    <row r="9" spans="1:18" s="577" customFormat="1" ht="18.95" customHeight="1">
      <c r="A9" s="716" t="s">
        <v>51</v>
      </c>
      <c r="B9" s="716">
        <v>1</v>
      </c>
      <c r="C9" s="716">
        <v>1</v>
      </c>
      <c r="D9" s="716">
        <v>2</v>
      </c>
      <c r="E9" s="716">
        <v>3</v>
      </c>
      <c r="F9" s="716">
        <v>4</v>
      </c>
      <c r="G9" s="716">
        <v>5</v>
      </c>
      <c r="H9" s="716">
        <v>6</v>
      </c>
      <c r="I9" s="716">
        <v>7</v>
      </c>
      <c r="J9" s="717" t="s">
        <v>1328</v>
      </c>
      <c r="K9" s="718" t="s">
        <v>1329</v>
      </c>
      <c r="L9" s="153"/>
      <c r="M9" s="577">
        <v>1002733.275436</v>
      </c>
      <c r="N9" s="578">
        <f>I10-M9</f>
        <v>0</v>
      </c>
      <c r="R9" s="578"/>
    </row>
    <row r="10" spans="1:18" ht="18.95" customHeight="1">
      <c r="A10" s="705" t="s">
        <v>1332</v>
      </c>
      <c r="B10" s="693">
        <f t="shared" ref="B10:I10" si="0">B11+B85+B92+B99+B100</f>
        <v>4237000</v>
      </c>
      <c r="C10" s="719">
        <f>C11+C85+C92+C99+C100</f>
        <v>4237000</v>
      </c>
      <c r="D10" s="698">
        <f>D11+D85+D92+D99+D100+D123</f>
        <v>14635105.773981001</v>
      </c>
      <c r="E10" s="698">
        <f>E11+E85+E92+E99+E100+E123</f>
        <v>9910120.6839140002</v>
      </c>
      <c r="F10" s="698">
        <f>F11+F85+F92+F99+F100</f>
        <v>323276.280585</v>
      </c>
      <c r="G10" s="698">
        <f>G11+G85+G92+G99+G100</f>
        <v>8894132.6147980001</v>
      </c>
      <c r="H10" s="698">
        <f>H11+H85+H92+H99+H100+H123</f>
        <v>4387998.6031620009</v>
      </c>
      <c r="I10" s="698">
        <f t="shared" si="0"/>
        <v>1002733.2754360001</v>
      </c>
      <c r="J10" s="698">
        <f>D10/C10*100</f>
        <v>345.41198428088273</v>
      </c>
      <c r="K10" s="698">
        <f>E10/C10*100</f>
        <v>233.89475298357328</v>
      </c>
      <c r="L10" s="157"/>
      <c r="M10" s="139">
        <v>14123853.669837</v>
      </c>
      <c r="N10" s="142">
        <f>M10-D10</f>
        <v>-511252.10414400138</v>
      </c>
      <c r="O10" s="142">
        <f>+D11-D12</f>
        <v>42746.113675999455</v>
      </c>
      <c r="R10" s="142"/>
    </row>
    <row r="11" spans="1:18" ht="18.95" customHeight="1">
      <c r="A11" s="706" t="s">
        <v>1371</v>
      </c>
      <c r="B11" s="693">
        <f>B12+B72+B78+B79+B82</f>
        <v>4237000</v>
      </c>
      <c r="C11" s="719">
        <f>+C12+C72</f>
        <v>4237000</v>
      </c>
      <c r="D11" s="698">
        <f t="shared" ref="D11:I11" si="1">D12+D72+D78+D79+D82</f>
        <v>4197812.3890419994</v>
      </c>
      <c r="E11" s="698">
        <f>E12+E72+E78+E79+E82</f>
        <v>3877191.108457</v>
      </c>
      <c r="F11" s="698">
        <f t="shared" si="1"/>
        <v>320621.280585</v>
      </c>
      <c r="G11" s="698">
        <f t="shared" si="1"/>
        <v>3179073.9173230003</v>
      </c>
      <c r="H11" s="698">
        <f t="shared" si="1"/>
        <v>601010.79225900001</v>
      </c>
      <c r="I11" s="698">
        <f t="shared" si="1"/>
        <v>97106.398875000014</v>
      </c>
      <c r="J11" s="698">
        <f t="shared" ref="J11:J72" si="2">D11/C11*100</f>
        <v>99.075109488836418</v>
      </c>
      <c r="K11" s="698">
        <f t="shared" ref="K11:K71" si="3">E11/C11*100</f>
        <v>91.507932699008734</v>
      </c>
      <c r="L11" s="159">
        <f>+(D12+D72)/(C12+C72)*100</f>
        <v>98.465182676303982</v>
      </c>
      <c r="M11" s="160"/>
      <c r="N11" s="160"/>
      <c r="O11" s="142">
        <f>+N15+O15</f>
        <v>3851348.5094099999</v>
      </c>
      <c r="R11" s="142"/>
    </row>
    <row r="12" spans="1:18" s="162" customFormat="1" ht="18.95" customHeight="1">
      <c r="A12" s="706" t="s">
        <v>1370</v>
      </c>
      <c r="B12" s="693">
        <f>B13+B22+B31+B38+B46+B47+B48+B49+B50+B53+B54+B55+B56+B57+B58+B59+B45+B65</f>
        <v>4117000</v>
      </c>
      <c r="C12" s="719">
        <f>+C13+C22+C31+C38+C45+C46+C47+C48+C49+C50+C53+C54+C56+C57+C58+C59</f>
        <v>4117000</v>
      </c>
      <c r="D12" s="698">
        <f t="shared" ref="D12:I12" si="4">D13+D22+D31+D38+D46+D47+D48+D49+D50+D53+D54+D55+D56+D57+D58+D59+D45+D65</f>
        <v>4155066.2753659999</v>
      </c>
      <c r="E12" s="698">
        <f t="shared" si="4"/>
        <v>3851348.5094099999</v>
      </c>
      <c r="F12" s="698">
        <f t="shared" si="4"/>
        <v>303717.76595600002</v>
      </c>
      <c r="G12" s="698">
        <f t="shared" si="4"/>
        <v>3178648.9173230003</v>
      </c>
      <c r="H12" s="698">
        <f t="shared" si="4"/>
        <v>595236.92425899999</v>
      </c>
      <c r="I12" s="698">
        <f t="shared" si="4"/>
        <v>77462.667828000005</v>
      </c>
      <c r="J12" s="698">
        <f t="shared" si="2"/>
        <v>100.92461198362885</v>
      </c>
      <c r="K12" s="698">
        <f t="shared" si="3"/>
        <v>93.547449827787219</v>
      </c>
      <c r="L12" s="159" t="e">
        <f>D12/"#REF!*100"</f>
        <v>#VALUE!</v>
      </c>
      <c r="M12" s="156">
        <f>+D12/32596.1389</f>
        <v>127.47111822394399</v>
      </c>
      <c r="N12" s="139" t="s">
        <v>193</v>
      </c>
      <c r="O12" s="161">
        <f>D12-F12+G72</f>
        <v>3851348.5094099999</v>
      </c>
    </row>
    <row r="13" spans="1:18" s="162" customFormat="1" ht="18.95" customHeight="1">
      <c r="A13" s="706" t="s">
        <v>1369</v>
      </c>
      <c r="B13" s="693">
        <f>SUM(B14:B21)</f>
        <v>1429900</v>
      </c>
      <c r="C13" s="719">
        <f>SUM(C14:C21)</f>
        <v>1454000</v>
      </c>
      <c r="D13" s="698">
        <f>+F13+G13+H13+I13</f>
        <v>1186931.9601680001</v>
      </c>
      <c r="E13" s="698">
        <f>+E14+E15+E16+E17+E18+E19+E20+E21</f>
        <v>1186909.384506</v>
      </c>
      <c r="F13" s="698">
        <f>SUM(F14:F21)</f>
        <v>22.575662000000001</v>
      </c>
      <c r="G13" s="698">
        <f>SUM(G14:G21)</f>
        <v>1186909.384506</v>
      </c>
      <c r="H13" s="698">
        <f>SUM(H14:H21)</f>
        <v>0</v>
      </c>
      <c r="I13" s="698">
        <f>SUM(I14:I21)</f>
        <v>0</v>
      </c>
      <c r="J13" s="698">
        <f t="shared" si="2"/>
        <v>81.632184330674008</v>
      </c>
      <c r="K13" s="698">
        <f t="shared" si="3"/>
        <v>81.630631671664375</v>
      </c>
      <c r="L13" s="159" t="e">
        <f>D13/"#REF!*100"</f>
        <v>#VALUE!</v>
      </c>
      <c r="M13" s="164">
        <v>1237865.3</v>
      </c>
      <c r="N13" s="162" t="s">
        <v>195</v>
      </c>
      <c r="O13" s="165">
        <f>+G12+G72</f>
        <v>3178648.9173230003</v>
      </c>
    </row>
    <row r="14" spans="1:18" ht="18.95" customHeight="1">
      <c r="A14" s="707" t="s">
        <v>1368</v>
      </c>
      <c r="B14" s="694">
        <v>1089100</v>
      </c>
      <c r="C14" s="720">
        <f>1113070</f>
        <v>1113070</v>
      </c>
      <c r="D14" s="699">
        <f>+F14+G14+H14+I14</f>
        <v>899855.58959800005</v>
      </c>
      <c r="E14" s="699">
        <f>+G14+H14+I14</f>
        <v>899855.58959800005</v>
      </c>
      <c r="F14" s="700">
        <v>0</v>
      </c>
      <c r="G14" s="699">
        <v>899855.58959800005</v>
      </c>
      <c r="H14" s="700">
        <v>0</v>
      </c>
      <c r="I14" s="700">
        <v>0</v>
      </c>
      <c r="J14" s="699">
        <f t="shared" si="2"/>
        <v>80.844474255707183</v>
      </c>
      <c r="K14" s="699">
        <f t="shared" si="3"/>
        <v>80.844474255707183</v>
      </c>
      <c r="L14" s="169" t="e">
        <f>D14/"#REF!*100"</f>
        <v>#VALUE!</v>
      </c>
      <c r="M14" s="170" t="s">
        <v>197</v>
      </c>
      <c r="N14" s="139" t="s">
        <v>198</v>
      </c>
      <c r="O14" s="139" t="s">
        <v>199</v>
      </c>
    </row>
    <row r="15" spans="1:18" ht="18.95" customHeight="1">
      <c r="A15" s="707" t="s">
        <v>1372</v>
      </c>
      <c r="B15" s="695">
        <v>0</v>
      </c>
      <c r="C15" s="700">
        <v>0</v>
      </c>
      <c r="D15" s="700">
        <f>+F15+G15+H15+I15</f>
        <v>0</v>
      </c>
      <c r="E15" s="700">
        <f t="shared" ref="E15:E67" si="5">+G15+H15+I15</f>
        <v>0</v>
      </c>
      <c r="F15" s="700">
        <v>0</v>
      </c>
      <c r="G15" s="700">
        <v>0</v>
      </c>
      <c r="H15" s="700">
        <v>0</v>
      </c>
      <c r="I15" s="700">
        <v>0</v>
      </c>
      <c r="J15" s="700">
        <v>0</v>
      </c>
      <c r="K15" s="700">
        <v>0</v>
      </c>
      <c r="L15" s="169"/>
      <c r="M15" s="172" t="e">
        <f>+H28+H30+H43+H44+H46+"#REF!+G48+#REF!+G63"</f>
        <v>#VALUE!</v>
      </c>
      <c r="N15" s="173">
        <f>D14+D15+D16+D23+D24+D25+D32+D33+D39+D40+D41+D48+D49-F40-F49</f>
        <v>2302786.5021419995</v>
      </c>
      <c r="O15" s="142">
        <f>+O12-N15</f>
        <v>1548562.0072680004</v>
      </c>
      <c r="P15" s="139">
        <v>1695.9966790000001</v>
      </c>
    </row>
    <row r="16" spans="1:18" ht="18.95" customHeight="1">
      <c r="A16" s="707" t="s">
        <v>1373</v>
      </c>
      <c r="B16" s="694">
        <v>340000</v>
      </c>
      <c r="C16" s="720">
        <f>340000</f>
        <v>340000</v>
      </c>
      <c r="D16" s="699">
        <f t="shared" ref="D16:D64" si="6">+F16+G16+H16+I16</f>
        <v>285646.499862</v>
      </c>
      <c r="E16" s="699">
        <f t="shared" si="5"/>
        <v>285646.499862</v>
      </c>
      <c r="F16" s="700">
        <v>0</v>
      </c>
      <c r="G16" s="699">
        <v>285646.499862</v>
      </c>
      <c r="H16" s="700">
        <v>0</v>
      </c>
      <c r="I16" s="700">
        <v>0</v>
      </c>
      <c r="J16" s="699">
        <f t="shared" si="2"/>
        <v>84.01367642999999</v>
      </c>
      <c r="K16" s="699">
        <f t="shared" si="3"/>
        <v>84.01367642999999</v>
      </c>
      <c r="L16" s="169" t="e">
        <f>D16/"#REF!*100"</f>
        <v>#VALUE!</v>
      </c>
      <c r="M16" s="174" t="e">
        <f>+I30+I43+I46+"#REF!+H48+#REF!+H57"</f>
        <v>#VALUE!</v>
      </c>
      <c r="N16" s="175" t="s">
        <v>202</v>
      </c>
      <c r="P16" s="142">
        <f>+O15+P15</f>
        <v>1550258.0039470005</v>
      </c>
    </row>
    <row r="17" spans="1:15" ht="18.95" customHeight="1">
      <c r="A17" s="707" t="s">
        <v>1374</v>
      </c>
      <c r="B17" s="695">
        <v>0</v>
      </c>
      <c r="C17" s="700">
        <v>0</v>
      </c>
      <c r="D17" s="700">
        <f t="shared" si="6"/>
        <v>0</v>
      </c>
      <c r="E17" s="700">
        <f t="shared" si="5"/>
        <v>0</v>
      </c>
      <c r="F17" s="700">
        <v>0</v>
      </c>
      <c r="G17" s="700">
        <v>0</v>
      </c>
      <c r="H17" s="700">
        <v>0</v>
      </c>
      <c r="I17" s="700">
        <v>0</v>
      </c>
      <c r="J17" s="700">
        <v>0</v>
      </c>
      <c r="K17" s="700">
        <v>0</v>
      </c>
      <c r="L17" s="169"/>
      <c r="M17" s="176" t="e">
        <f>M15+M16</f>
        <v>#VALUE!</v>
      </c>
      <c r="N17" s="173">
        <f>G14+G15+G16+G23+G24+G25+G32+G33+G39+G40+G41+G48+G49</f>
        <v>2040166.4937679998</v>
      </c>
      <c r="O17" s="142">
        <f>+O13-N17</f>
        <v>1138482.4235550005</v>
      </c>
    </row>
    <row r="18" spans="1:15" ht="18.95" customHeight="1">
      <c r="A18" s="707" t="s">
        <v>1375</v>
      </c>
      <c r="B18" s="694">
        <v>800</v>
      </c>
      <c r="C18" s="720">
        <f>800</f>
        <v>800</v>
      </c>
      <c r="D18" s="699">
        <f t="shared" si="6"/>
        <v>1392.25197</v>
      </c>
      <c r="E18" s="699">
        <f t="shared" si="5"/>
        <v>1392.25197</v>
      </c>
      <c r="F18" s="700">
        <v>0</v>
      </c>
      <c r="G18" s="699">
        <v>1392.25197</v>
      </c>
      <c r="H18" s="700">
        <v>0</v>
      </c>
      <c r="I18" s="700">
        <v>0</v>
      </c>
      <c r="J18" s="699">
        <f t="shared" si="2"/>
        <v>174.03149625</v>
      </c>
      <c r="K18" s="699">
        <f t="shared" si="3"/>
        <v>174.03149625</v>
      </c>
      <c r="L18" s="169"/>
      <c r="N18" s="139">
        <v>2</v>
      </c>
      <c r="O18" s="142">
        <f>O15+N15</f>
        <v>3851348.5094099999</v>
      </c>
    </row>
    <row r="19" spans="1:15" ht="18.95" customHeight="1">
      <c r="A19" s="707" t="s">
        <v>1376</v>
      </c>
      <c r="B19" s="695">
        <v>0</v>
      </c>
      <c r="C19" s="700">
        <v>0</v>
      </c>
      <c r="D19" s="699">
        <f t="shared" si="6"/>
        <v>0.5</v>
      </c>
      <c r="E19" s="699">
        <f t="shared" si="5"/>
        <v>0.5</v>
      </c>
      <c r="F19" s="700">
        <v>0</v>
      </c>
      <c r="G19" s="699">
        <v>0.5</v>
      </c>
      <c r="H19" s="700">
        <v>0</v>
      </c>
      <c r="I19" s="700">
        <v>0</v>
      </c>
      <c r="J19" s="700">
        <v>0</v>
      </c>
      <c r="K19" s="700">
        <v>0</v>
      </c>
      <c r="L19" s="169" t="e">
        <f>D19/"#REF!*100"</f>
        <v>#VALUE!</v>
      </c>
      <c r="N19" s="142">
        <f>G12+G72</f>
        <v>3178648.9173230003</v>
      </c>
    </row>
    <row r="20" spans="1:15" ht="18.95" customHeight="1">
      <c r="A20" s="707" t="s">
        <v>1377</v>
      </c>
      <c r="B20" s="695">
        <v>0</v>
      </c>
      <c r="C20" s="700">
        <v>0</v>
      </c>
      <c r="D20" s="700">
        <f t="shared" si="6"/>
        <v>0</v>
      </c>
      <c r="E20" s="700">
        <f t="shared" si="5"/>
        <v>0</v>
      </c>
      <c r="F20" s="700">
        <v>0</v>
      </c>
      <c r="G20" s="700">
        <v>0</v>
      </c>
      <c r="H20" s="700">
        <v>0</v>
      </c>
      <c r="I20" s="700">
        <v>0</v>
      </c>
      <c r="J20" s="700">
        <v>0</v>
      </c>
      <c r="K20" s="700">
        <v>0</v>
      </c>
      <c r="L20" s="169"/>
      <c r="M20" s="139">
        <v>2</v>
      </c>
      <c r="N20" s="139">
        <v>2302786.502142</v>
      </c>
    </row>
    <row r="21" spans="1:15" ht="18.95" customHeight="1">
      <c r="A21" s="707" t="s">
        <v>1378</v>
      </c>
      <c r="B21" s="695">
        <v>0</v>
      </c>
      <c r="C21" s="720">
        <f>130</f>
        <v>130</v>
      </c>
      <c r="D21" s="699">
        <f>+F21+G21+H21+I21</f>
        <v>37.118738</v>
      </c>
      <c r="E21" s="699">
        <f t="shared" si="5"/>
        <v>14.543075999999999</v>
      </c>
      <c r="F21" s="699">
        <v>22.575662000000001</v>
      </c>
      <c r="G21" s="699">
        <v>14.543075999999999</v>
      </c>
      <c r="H21" s="700">
        <v>0</v>
      </c>
      <c r="I21" s="700">
        <v>0</v>
      </c>
      <c r="J21" s="699">
        <f t="shared" si="2"/>
        <v>28.552875384615383</v>
      </c>
      <c r="K21" s="699">
        <f t="shared" si="3"/>
        <v>11.186981538461538</v>
      </c>
      <c r="L21" s="169" t="e">
        <f>D21/"#REF!*100"</f>
        <v>#VALUE!</v>
      </c>
      <c r="M21" s="142">
        <f>68.136845-F21</f>
        <v>45.561182999999993</v>
      </c>
      <c r="N21" s="142">
        <f>+N15-N20</f>
        <v>0</v>
      </c>
      <c r="O21" s="142">
        <f>+D21+D30</f>
        <v>8714.5908299999992</v>
      </c>
    </row>
    <row r="22" spans="1:15" s="162" customFormat="1" ht="18.95" customHeight="1">
      <c r="A22" s="706" t="s">
        <v>1379</v>
      </c>
      <c r="B22" s="693">
        <f>SUM(B23:B30)</f>
        <v>144800</v>
      </c>
      <c r="C22" s="719">
        <f>SUM(C23:C30)</f>
        <v>145000</v>
      </c>
      <c r="D22" s="698">
        <f>+F22+G22+H22+I22</f>
        <v>139177.10179099999</v>
      </c>
      <c r="E22" s="698">
        <f>+E23+E24+E25+E26+E27+E28+E29+E30</f>
        <v>139176.82639600002</v>
      </c>
      <c r="F22" s="698">
        <f>SUM(F23:F30)</f>
        <v>0.275395</v>
      </c>
      <c r="G22" s="698">
        <f>SUM(G23:G30)</f>
        <v>138885.222687</v>
      </c>
      <c r="H22" s="698">
        <f>SUM(H23:H30)</f>
        <v>290.16870900000004</v>
      </c>
      <c r="I22" s="698">
        <f>SUM(I23:I30)</f>
        <v>1.4350000000000001</v>
      </c>
      <c r="J22" s="698">
        <f t="shared" si="2"/>
        <v>95.984208131724131</v>
      </c>
      <c r="K22" s="698">
        <f t="shared" si="3"/>
        <v>95.984018204137939</v>
      </c>
      <c r="L22" s="159" t="e">
        <f>D22/"#REF!*100"</f>
        <v>#VALUE!</v>
      </c>
      <c r="M22" s="162">
        <v>119581</v>
      </c>
      <c r="O22" s="165">
        <f>+O21-2494.236322</f>
        <v>6220.3545079999985</v>
      </c>
    </row>
    <row r="23" spans="1:15" ht="18.95" customHeight="1">
      <c r="A23" s="707" t="s">
        <v>1380</v>
      </c>
      <c r="B23" s="694">
        <v>93850</v>
      </c>
      <c r="C23" s="720">
        <v>83700</v>
      </c>
      <c r="D23" s="699">
        <f>+F23+G23+H23+I23</f>
        <v>52250.077037000003</v>
      </c>
      <c r="E23" s="699">
        <f t="shared" si="5"/>
        <v>52250.077037000003</v>
      </c>
      <c r="F23" s="700">
        <v>0</v>
      </c>
      <c r="G23" s="699">
        <v>52170.996370000001</v>
      </c>
      <c r="H23" s="699">
        <v>79.080667000000005</v>
      </c>
      <c r="I23" s="700">
        <v>0</v>
      </c>
      <c r="J23" s="699">
        <f t="shared" si="2"/>
        <v>62.425420593787337</v>
      </c>
      <c r="K23" s="699">
        <f t="shared" si="3"/>
        <v>62.425420593787337</v>
      </c>
      <c r="L23" s="169" t="e">
        <f>D23/"#REF!*100"</f>
        <v>#VALUE!</v>
      </c>
      <c r="N23" s="142">
        <f>1039936.36619-G14</f>
        <v>140080.77659199992</v>
      </c>
    </row>
    <row r="24" spans="1:15" ht="18.95" customHeight="1">
      <c r="A24" s="707" t="s">
        <v>1381</v>
      </c>
      <c r="B24" s="694">
        <v>750</v>
      </c>
      <c r="C24" s="720">
        <v>800</v>
      </c>
      <c r="D24" s="699">
        <f t="shared" si="6"/>
        <v>813.54806699999995</v>
      </c>
      <c r="E24" s="699">
        <f t="shared" si="5"/>
        <v>813.54806699999995</v>
      </c>
      <c r="F24" s="700">
        <v>0</v>
      </c>
      <c r="G24" s="699">
        <v>813.54806699999995</v>
      </c>
      <c r="H24" s="699"/>
      <c r="I24" s="700">
        <v>0</v>
      </c>
      <c r="J24" s="699">
        <f t="shared" si="2"/>
        <v>101.69350837499999</v>
      </c>
      <c r="K24" s="699">
        <f t="shared" si="3"/>
        <v>101.69350837499999</v>
      </c>
      <c r="L24" s="169" t="e">
        <f>D24/"#REF!*100"</f>
        <v>#VALUE!</v>
      </c>
      <c r="M24" s="142"/>
      <c r="N24" s="142"/>
      <c r="O24" s="142"/>
    </row>
    <row r="25" spans="1:15" ht="18.95" customHeight="1">
      <c r="A25" s="707" t="s">
        <v>1382</v>
      </c>
      <c r="B25" s="694">
        <v>45000</v>
      </c>
      <c r="C25" s="720">
        <v>55000</v>
      </c>
      <c r="D25" s="699">
        <f t="shared" si="6"/>
        <v>49388.258091999996</v>
      </c>
      <c r="E25" s="699">
        <f t="shared" si="5"/>
        <v>49388.258091999996</v>
      </c>
      <c r="F25" s="700">
        <v>0</v>
      </c>
      <c r="G25" s="699">
        <v>49190.124527</v>
      </c>
      <c r="H25" s="699">
        <v>198.133565</v>
      </c>
      <c r="I25" s="700">
        <v>0</v>
      </c>
      <c r="J25" s="699">
        <f t="shared" si="2"/>
        <v>89.796832894545446</v>
      </c>
      <c r="K25" s="699">
        <f t="shared" si="3"/>
        <v>89.796832894545446</v>
      </c>
      <c r="L25" s="169" t="e">
        <f>D25/"#REF!*100"</f>
        <v>#VALUE!</v>
      </c>
      <c r="N25" s="142">
        <f>295930.311213-G16</f>
        <v>10283.811350999982</v>
      </c>
    </row>
    <row r="26" spans="1:15" ht="18.95" customHeight="1">
      <c r="A26" s="707" t="s">
        <v>1383</v>
      </c>
      <c r="B26" s="694"/>
      <c r="C26" s="700">
        <v>0</v>
      </c>
      <c r="D26" s="699">
        <f t="shared" si="6"/>
        <v>21289.202011000001</v>
      </c>
      <c r="E26" s="699">
        <f t="shared" si="5"/>
        <v>21289.202011000001</v>
      </c>
      <c r="F26" s="700">
        <v>0</v>
      </c>
      <c r="G26" s="699">
        <v>21289.202011000001</v>
      </c>
      <c r="H26" s="700">
        <v>0</v>
      </c>
      <c r="I26" s="700">
        <v>0</v>
      </c>
      <c r="J26" s="700">
        <v>0</v>
      </c>
      <c r="K26" s="700">
        <v>0</v>
      </c>
      <c r="L26" s="169"/>
      <c r="M26" s="139" t="s">
        <v>213</v>
      </c>
      <c r="N26" s="178">
        <f>+H14+H16+H23+H25+H32+H33+H39+H41</f>
        <v>262620.00837400003</v>
      </c>
      <c r="O26" s="142"/>
    </row>
    <row r="27" spans="1:15" ht="18.95" customHeight="1">
      <c r="A27" s="707" t="s">
        <v>1384</v>
      </c>
      <c r="B27" s="694">
        <v>5200</v>
      </c>
      <c r="C27" s="720">
        <v>5200</v>
      </c>
      <c r="D27" s="699">
        <f t="shared" si="6"/>
        <v>6748.544492</v>
      </c>
      <c r="E27" s="699">
        <f t="shared" si="5"/>
        <v>6748.544492</v>
      </c>
      <c r="F27" s="700">
        <v>0</v>
      </c>
      <c r="G27" s="699">
        <v>6748.544492</v>
      </c>
      <c r="H27" s="700">
        <v>0</v>
      </c>
      <c r="I27" s="700">
        <v>0</v>
      </c>
      <c r="J27" s="699">
        <f t="shared" si="2"/>
        <v>129.77970176923077</v>
      </c>
      <c r="K27" s="699">
        <f t="shared" si="3"/>
        <v>129.77970176923077</v>
      </c>
      <c r="L27" s="169" t="e">
        <f t="shared" ref="L27:L35" si="7">D27/"#REF!*100"</f>
        <v>#VALUE!</v>
      </c>
      <c r="M27" s="139" t="s">
        <v>215</v>
      </c>
      <c r="N27" s="179">
        <f>+H12-N26</f>
        <v>332616.91588499997</v>
      </c>
      <c r="O27" s="142">
        <f>+N27+I12</f>
        <v>410079.58371299994</v>
      </c>
    </row>
    <row r="28" spans="1:15" ht="18.95" customHeight="1">
      <c r="A28" s="707" t="s">
        <v>1385</v>
      </c>
      <c r="B28" s="694"/>
      <c r="C28" s="700">
        <v>0</v>
      </c>
      <c r="D28" s="699">
        <f t="shared" si="6"/>
        <v>10</v>
      </c>
      <c r="E28" s="699">
        <f t="shared" si="5"/>
        <v>10</v>
      </c>
      <c r="F28" s="700">
        <v>0</v>
      </c>
      <c r="G28" s="699">
        <v>2</v>
      </c>
      <c r="H28" s="699">
        <v>8</v>
      </c>
      <c r="I28" s="700">
        <v>0</v>
      </c>
      <c r="J28" s="700">
        <v>0</v>
      </c>
      <c r="K28" s="700">
        <v>0</v>
      </c>
      <c r="L28" s="169" t="e">
        <f t="shared" si="7"/>
        <v>#VALUE!</v>
      </c>
      <c r="N28" s="142"/>
    </row>
    <row r="29" spans="1:15" ht="18.95" customHeight="1">
      <c r="A29" s="707" t="s">
        <v>1386</v>
      </c>
      <c r="B29" s="694"/>
      <c r="C29" s="700">
        <v>0</v>
      </c>
      <c r="D29" s="700">
        <f t="shared" si="6"/>
        <v>0</v>
      </c>
      <c r="E29" s="700">
        <f t="shared" si="5"/>
        <v>0</v>
      </c>
      <c r="F29" s="700">
        <v>0</v>
      </c>
      <c r="G29" s="700">
        <v>0</v>
      </c>
      <c r="H29" s="700">
        <v>0</v>
      </c>
      <c r="I29" s="700">
        <v>0</v>
      </c>
      <c r="J29" s="700">
        <v>0</v>
      </c>
      <c r="K29" s="700">
        <v>0</v>
      </c>
      <c r="L29" s="169" t="e">
        <f t="shared" si="7"/>
        <v>#VALUE!</v>
      </c>
      <c r="O29" s="139">
        <f>462.645198+505.414243+1416.935629+0.598433</f>
        <v>2385.5935030000001</v>
      </c>
    </row>
    <row r="30" spans="1:15" ht="18.95" customHeight="1">
      <c r="A30" s="707" t="s">
        <v>1387</v>
      </c>
      <c r="B30" s="694"/>
      <c r="C30" s="720">
        <v>300</v>
      </c>
      <c r="D30" s="699">
        <f t="shared" si="6"/>
        <v>8677.472092</v>
      </c>
      <c r="E30" s="699">
        <f t="shared" si="5"/>
        <v>8677.1966969999994</v>
      </c>
      <c r="F30" s="699">
        <v>0.275395</v>
      </c>
      <c r="G30" s="699">
        <v>8670.8072200000006</v>
      </c>
      <c r="H30" s="699">
        <v>4.9544769999999998</v>
      </c>
      <c r="I30" s="699">
        <v>1.4350000000000001</v>
      </c>
      <c r="J30" s="699">
        <f t="shared" si="2"/>
        <v>2892.4906973333332</v>
      </c>
      <c r="K30" s="699">
        <f t="shared" si="3"/>
        <v>2892.3988989999998</v>
      </c>
      <c r="L30" s="169" t="e">
        <f t="shared" si="7"/>
        <v>#VALUE!</v>
      </c>
      <c r="O30" s="139">
        <v>2409.900032</v>
      </c>
    </row>
    <row r="31" spans="1:15" s="162" customFormat="1" ht="18.95" customHeight="1">
      <c r="A31" s="706" t="s">
        <v>1388</v>
      </c>
      <c r="B31" s="693">
        <f>SUM(B32:B37)</f>
        <v>80000</v>
      </c>
      <c r="C31" s="719">
        <f>SUM(C32:C37)</f>
        <v>80000</v>
      </c>
      <c r="D31" s="698">
        <f>+F31+G31+H31+I31</f>
        <v>111325.40272900001</v>
      </c>
      <c r="E31" s="698">
        <f>+E32+E33+E34+E35+E36+E37</f>
        <v>111308.92838300001</v>
      </c>
      <c r="F31" s="698">
        <f>SUM(F32:F37)</f>
        <v>16.474346000000001</v>
      </c>
      <c r="G31" s="698">
        <f>SUM(G32:G37)</f>
        <v>111308.92838300001</v>
      </c>
      <c r="H31" s="698">
        <f>SUM(H32:H37)</f>
        <v>0</v>
      </c>
      <c r="I31" s="698">
        <f>SUM(I32:I37)</f>
        <v>0</v>
      </c>
      <c r="J31" s="698">
        <f t="shared" si="2"/>
        <v>139.15675341125001</v>
      </c>
      <c r="K31" s="698">
        <f t="shared" si="3"/>
        <v>139.13616047875001</v>
      </c>
      <c r="L31" s="180" t="e">
        <f t="shared" si="7"/>
        <v>#VALUE!</v>
      </c>
      <c r="M31" s="181" t="s">
        <v>220</v>
      </c>
      <c r="O31" s="165">
        <f>+O30-G21</f>
        <v>2395.3569560000001</v>
      </c>
    </row>
    <row r="32" spans="1:15" ht="18.95" customHeight="1">
      <c r="A32" s="707" t="s">
        <v>1389</v>
      </c>
      <c r="B32" s="694">
        <v>73950</v>
      </c>
      <c r="C32" s="720">
        <v>73950</v>
      </c>
      <c r="D32" s="699">
        <f t="shared" si="6"/>
        <v>94987.955895999999</v>
      </c>
      <c r="E32" s="699">
        <f t="shared" si="5"/>
        <v>94987.955895999999</v>
      </c>
      <c r="F32" s="700">
        <v>0</v>
      </c>
      <c r="G32" s="699">
        <v>94987.955895999999</v>
      </c>
      <c r="H32" s="700">
        <v>0</v>
      </c>
      <c r="I32" s="700">
        <v>0</v>
      </c>
      <c r="J32" s="699">
        <f t="shared" si="2"/>
        <v>128.44889235429343</v>
      </c>
      <c r="K32" s="699">
        <f t="shared" si="3"/>
        <v>128.44889235429343</v>
      </c>
      <c r="L32" s="169" t="e">
        <f t="shared" si="7"/>
        <v>#VALUE!</v>
      </c>
      <c r="O32" s="142">
        <f>+O31+H30+I30</f>
        <v>2401.7464330000003</v>
      </c>
    </row>
    <row r="33" spans="1:14" ht="18.95" customHeight="1">
      <c r="A33" s="707" t="s">
        <v>1390</v>
      </c>
      <c r="B33" s="694">
        <v>6000</v>
      </c>
      <c r="C33" s="720">
        <v>6000</v>
      </c>
      <c r="D33" s="699">
        <f t="shared" si="6"/>
        <v>16090.880827000001</v>
      </c>
      <c r="E33" s="699">
        <f t="shared" si="5"/>
        <v>16090.880827000001</v>
      </c>
      <c r="F33" s="700">
        <v>0</v>
      </c>
      <c r="G33" s="699">
        <v>16090.880827000001</v>
      </c>
      <c r="H33" s="700">
        <v>0</v>
      </c>
      <c r="I33" s="700">
        <v>0</v>
      </c>
      <c r="J33" s="699">
        <f t="shared" si="2"/>
        <v>268.1813471166667</v>
      </c>
      <c r="K33" s="699">
        <f t="shared" si="3"/>
        <v>268.1813471166667</v>
      </c>
      <c r="L33" s="182" t="e">
        <f t="shared" si="7"/>
        <v>#VALUE!</v>
      </c>
    </row>
    <row r="34" spans="1:14" ht="18.95" customHeight="1">
      <c r="A34" s="707" t="s">
        <v>1391</v>
      </c>
      <c r="B34" s="694"/>
      <c r="C34" s="700">
        <v>0</v>
      </c>
      <c r="D34" s="700">
        <f t="shared" si="6"/>
        <v>0</v>
      </c>
      <c r="E34" s="700">
        <f t="shared" si="5"/>
        <v>0</v>
      </c>
      <c r="F34" s="700">
        <v>0</v>
      </c>
      <c r="G34" s="700"/>
      <c r="H34" s="700">
        <v>0</v>
      </c>
      <c r="I34" s="700">
        <v>0</v>
      </c>
      <c r="J34" s="700">
        <v>0</v>
      </c>
      <c r="K34" s="700">
        <v>0</v>
      </c>
      <c r="L34" s="169" t="e">
        <f t="shared" si="7"/>
        <v>#VALUE!</v>
      </c>
    </row>
    <row r="35" spans="1:14" ht="18.95" customHeight="1">
      <c r="A35" s="707" t="s">
        <v>1392</v>
      </c>
      <c r="B35" s="694">
        <v>50</v>
      </c>
      <c r="C35" s="720">
        <v>50</v>
      </c>
      <c r="D35" s="699">
        <f t="shared" si="6"/>
        <v>226.33727999999999</v>
      </c>
      <c r="E35" s="699">
        <f t="shared" si="5"/>
        <v>226.33727999999999</v>
      </c>
      <c r="F35" s="700">
        <v>0</v>
      </c>
      <c r="G35" s="699">
        <v>226.33727999999999</v>
      </c>
      <c r="H35" s="700">
        <v>0</v>
      </c>
      <c r="I35" s="700">
        <v>0</v>
      </c>
      <c r="J35" s="699">
        <f t="shared" si="2"/>
        <v>452.67455999999999</v>
      </c>
      <c r="K35" s="699">
        <f t="shared" si="3"/>
        <v>452.67455999999999</v>
      </c>
      <c r="L35" s="169" t="e">
        <f t="shared" si="7"/>
        <v>#VALUE!</v>
      </c>
    </row>
    <row r="36" spans="1:14" ht="18.95" customHeight="1">
      <c r="A36" s="707" t="s">
        <v>1393</v>
      </c>
      <c r="B36" s="694">
        <v>0</v>
      </c>
      <c r="C36" s="700">
        <v>0</v>
      </c>
      <c r="D36" s="699">
        <f t="shared" si="6"/>
        <v>3.7543799999999998</v>
      </c>
      <c r="E36" s="699">
        <f t="shared" si="5"/>
        <v>3.7543799999999998</v>
      </c>
      <c r="F36" s="700">
        <v>0</v>
      </c>
      <c r="G36" s="699">
        <v>3.7543799999999998</v>
      </c>
      <c r="H36" s="700">
        <v>0</v>
      </c>
      <c r="I36" s="700">
        <v>0</v>
      </c>
      <c r="J36" s="700">
        <v>0</v>
      </c>
      <c r="K36" s="700">
        <v>0</v>
      </c>
      <c r="L36" s="169"/>
      <c r="N36" s="142"/>
    </row>
    <row r="37" spans="1:14" ht="18.95" customHeight="1">
      <c r="A37" s="707" t="s">
        <v>1394</v>
      </c>
      <c r="B37" s="694">
        <v>0</v>
      </c>
      <c r="C37" s="700">
        <v>0</v>
      </c>
      <c r="D37" s="699">
        <f t="shared" si="6"/>
        <v>16.474346000000001</v>
      </c>
      <c r="E37" s="700">
        <f t="shared" si="5"/>
        <v>0</v>
      </c>
      <c r="F37" s="700">
        <v>16.474346000000001</v>
      </c>
      <c r="G37" s="700"/>
      <c r="H37" s="700">
        <v>0</v>
      </c>
      <c r="I37" s="700">
        <v>0</v>
      </c>
      <c r="J37" s="700">
        <v>0</v>
      </c>
      <c r="K37" s="700">
        <v>0</v>
      </c>
      <c r="L37" s="169" t="e">
        <f>D37/"#REF!*100"</f>
        <v>#VALUE!</v>
      </c>
    </row>
    <row r="38" spans="1:14" s="162" customFormat="1" ht="18.95" customHeight="1">
      <c r="A38" s="706" t="s">
        <v>1395</v>
      </c>
      <c r="B38" s="693">
        <f>SUM(B39:B44)</f>
        <v>589200</v>
      </c>
      <c r="C38" s="719">
        <f>SUM(C39:C44)</f>
        <v>600000</v>
      </c>
      <c r="D38" s="698">
        <f>+F38+G38+H38+I38</f>
        <v>543050.16736399999</v>
      </c>
      <c r="E38" s="698">
        <f>+E39+E40+E41+E42+E43+E44</f>
        <v>541795.858076</v>
      </c>
      <c r="F38" s="698">
        <f>SUM(F39:F44)</f>
        <v>1254.3092879999999</v>
      </c>
      <c r="G38" s="698">
        <f>SUM(G39:G44)</f>
        <v>278066.28537100001</v>
      </c>
      <c r="H38" s="698">
        <f>SUM(H39:H44)</f>
        <v>263666.68462700001</v>
      </c>
      <c r="I38" s="698">
        <f>SUM(I39:I44)</f>
        <v>62.888078</v>
      </c>
      <c r="J38" s="698">
        <f t="shared" si="2"/>
        <v>90.508361227333339</v>
      </c>
      <c r="K38" s="698">
        <f t="shared" si="3"/>
        <v>90.299309679333334</v>
      </c>
      <c r="L38" s="159" t="e">
        <f>D38/"#REF!*100"</f>
        <v>#VALUE!</v>
      </c>
      <c r="M38" s="162">
        <v>543050.16736399999</v>
      </c>
      <c r="N38" s="162" t="s">
        <v>228</v>
      </c>
    </row>
    <row r="39" spans="1:14" ht="18.95" customHeight="1">
      <c r="A39" s="707" t="s">
        <v>1396</v>
      </c>
      <c r="B39" s="694">
        <v>468300</v>
      </c>
      <c r="C39" s="720">
        <v>476864</v>
      </c>
      <c r="D39" s="699">
        <f t="shared" si="6"/>
        <v>379860.63873600005</v>
      </c>
      <c r="E39" s="699">
        <f t="shared" si="5"/>
        <v>379860.63873600005</v>
      </c>
      <c r="F39" s="699"/>
      <c r="G39" s="699">
        <v>160384.05144000001</v>
      </c>
      <c r="H39" s="699">
        <v>219476.58729600001</v>
      </c>
      <c r="I39" s="700">
        <v>0</v>
      </c>
      <c r="J39" s="699">
        <f t="shared" si="2"/>
        <v>79.658065766340101</v>
      </c>
      <c r="K39" s="699">
        <f t="shared" si="3"/>
        <v>79.658065766340101</v>
      </c>
      <c r="L39" s="169" t="e">
        <f>D39/"#REF!*100"</f>
        <v>#VALUE!</v>
      </c>
      <c r="M39" s="142">
        <f>+D38-M38</f>
        <v>0</v>
      </c>
    </row>
    <row r="40" spans="1:14" ht="18.95" customHeight="1">
      <c r="A40" s="707" t="s">
        <v>1397</v>
      </c>
      <c r="B40" s="694">
        <v>1800</v>
      </c>
      <c r="C40" s="720">
        <v>1596</v>
      </c>
      <c r="D40" s="699">
        <f t="shared" si="6"/>
        <v>2099.2060900000001</v>
      </c>
      <c r="E40" s="699">
        <f t="shared" si="5"/>
        <v>1154.8053050000001</v>
      </c>
      <c r="F40" s="699">
        <v>944.40078500000004</v>
      </c>
      <c r="G40" s="699">
        <v>1154.8053050000001</v>
      </c>
      <c r="H40" s="699"/>
      <c r="I40" s="700">
        <v>0</v>
      </c>
      <c r="J40" s="699">
        <f t="shared" si="2"/>
        <v>131.52920363408523</v>
      </c>
      <c r="K40" s="699">
        <f t="shared" si="3"/>
        <v>72.356222117794488</v>
      </c>
      <c r="L40" s="169" t="e">
        <f>D40/"#REF!*100"</f>
        <v>#VALUE!</v>
      </c>
    </row>
    <row r="41" spans="1:14" ht="18.95" customHeight="1">
      <c r="A41" s="707" t="s">
        <v>1398</v>
      </c>
      <c r="B41" s="694">
        <v>115000</v>
      </c>
      <c r="C41" s="720">
        <v>99100</v>
      </c>
      <c r="D41" s="699">
        <f t="shared" si="6"/>
        <v>136261.107838</v>
      </c>
      <c r="E41" s="699">
        <f t="shared" si="5"/>
        <v>136261.107838</v>
      </c>
      <c r="F41" s="700">
        <v>0</v>
      </c>
      <c r="G41" s="699">
        <v>93394.900991999995</v>
      </c>
      <c r="H41" s="699">
        <v>42866.206846000001</v>
      </c>
      <c r="I41" s="700">
        <v>0</v>
      </c>
      <c r="J41" s="699">
        <f t="shared" si="2"/>
        <v>137.4985951947528</v>
      </c>
      <c r="K41" s="699">
        <f t="shared" si="3"/>
        <v>137.4985951947528</v>
      </c>
      <c r="L41" s="169" t="e">
        <f>D41/"#REF!*100"</f>
        <v>#VALUE!</v>
      </c>
    </row>
    <row r="42" spans="1:14" ht="18.95" customHeight="1">
      <c r="A42" s="707" t="s">
        <v>1399</v>
      </c>
      <c r="B42" s="694">
        <v>4100</v>
      </c>
      <c r="C42" s="720">
        <v>3710</v>
      </c>
      <c r="D42" s="699">
        <f t="shared" si="6"/>
        <v>4643.8727980000003</v>
      </c>
      <c r="E42" s="699">
        <f t="shared" si="5"/>
        <v>4643.8727980000003</v>
      </c>
      <c r="F42" s="700">
        <v>0</v>
      </c>
      <c r="G42" s="699">
        <v>4643.1821749999999</v>
      </c>
      <c r="H42" s="699">
        <v>0.6906230000000001</v>
      </c>
      <c r="I42" s="700">
        <v>0</v>
      </c>
      <c r="J42" s="699">
        <f t="shared" si="2"/>
        <v>125.17177353099731</v>
      </c>
      <c r="K42" s="699">
        <f t="shared" si="3"/>
        <v>125.17177353099731</v>
      </c>
      <c r="L42" s="169"/>
    </row>
    <row r="43" spans="1:14" ht="18.95" customHeight="1">
      <c r="A43" s="707" t="s">
        <v>1400</v>
      </c>
      <c r="B43" s="694"/>
      <c r="C43" s="700">
        <v>0</v>
      </c>
      <c r="D43" s="699">
        <f t="shared" si="6"/>
        <v>174.55699999999999</v>
      </c>
      <c r="E43" s="699">
        <f t="shared" si="5"/>
        <v>174.55699999999999</v>
      </c>
      <c r="F43" s="700">
        <v>0</v>
      </c>
      <c r="G43" s="699">
        <v>13.5</v>
      </c>
      <c r="H43" s="699">
        <v>100.52</v>
      </c>
      <c r="I43" s="699">
        <v>60.536999999999999</v>
      </c>
      <c r="J43" s="700">
        <v>0</v>
      </c>
      <c r="K43" s="700">
        <v>0</v>
      </c>
      <c r="L43" s="169" t="e">
        <f>D43/"#REF!*100"</f>
        <v>#VALUE!</v>
      </c>
    </row>
    <row r="44" spans="1:14" ht="18.95" customHeight="1">
      <c r="A44" s="707" t="s">
        <v>1401</v>
      </c>
      <c r="B44" s="694"/>
      <c r="C44" s="720">
        <v>18730</v>
      </c>
      <c r="D44" s="699">
        <f t="shared" si="6"/>
        <v>20010.784901999999</v>
      </c>
      <c r="E44" s="699">
        <f t="shared" si="5"/>
        <v>19700.876399000001</v>
      </c>
      <c r="F44" s="699">
        <v>309.908503</v>
      </c>
      <c r="G44" s="699">
        <v>18475.845459</v>
      </c>
      <c r="H44" s="699">
        <f>1222.451984+0.227878</f>
        <v>1222.679862</v>
      </c>
      <c r="I44" s="699">
        <v>2.3510779999999998</v>
      </c>
      <c r="J44" s="699">
        <f t="shared" si="2"/>
        <v>106.83814683395623</v>
      </c>
      <c r="K44" s="699">
        <f t="shared" si="3"/>
        <v>105.18353656700481</v>
      </c>
      <c r="L44" s="169" t="e">
        <f>D44/"#REF!*100"</f>
        <v>#VALUE!</v>
      </c>
    </row>
    <row r="45" spans="1:14" s="162" customFormat="1" ht="18.95" customHeight="1">
      <c r="A45" s="706" t="s">
        <v>1402</v>
      </c>
      <c r="B45" s="693">
        <v>150000</v>
      </c>
      <c r="C45" s="719">
        <v>150000</v>
      </c>
      <c r="D45" s="698">
        <f t="shared" si="6"/>
        <v>152533.77566499999</v>
      </c>
      <c r="E45" s="699">
        <f t="shared" si="5"/>
        <v>152533.77566499999</v>
      </c>
      <c r="F45" s="700">
        <v>0</v>
      </c>
      <c r="G45" s="698"/>
      <c r="H45" s="698">
        <v>135711.965367</v>
      </c>
      <c r="I45" s="698">
        <v>16821.810298</v>
      </c>
      <c r="J45" s="698">
        <f t="shared" si="2"/>
        <v>101.68918377666667</v>
      </c>
      <c r="K45" s="698">
        <f t="shared" si="3"/>
        <v>101.68918377666667</v>
      </c>
      <c r="L45" s="159"/>
      <c r="N45" s="165"/>
    </row>
    <row r="46" spans="1:14" s="162" customFormat="1" ht="18.95" customHeight="1">
      <c r="A46" s="706" t="s">
        <v>1403</v>
      </c>
      <c r="B46" s="693">
        <v>7000</v>
      </c>
      <c r="C46" s="719">
        <v>7000</v>
      </c>
      <c r="D46" s="698">
        <f>+F46+G46+H46+I46</f>
        <v>10220.554547</v>
      </c>
      <c r="E46" s="699">
        <f t="shared" si="5"/>
        <v>10220.554547</v>
      </c>
      <c r="F46" s="700">
        <v>0</v>
      </c>
      <c r="G46" s="698">
        <v>532.47088099999996</v>
      </c>
      <c r="H46" s="698">
        <v>4628.7350260000003</v>
      </c>
      <c r="I46" s="698">
        <v>5059.3486400000002</v>
      </c>
      <c r="J46" s="698">
        <f t="shared" si="2"/>
        <v>146.0079221</v>
      </c>
      <c r="K46" s="698">
        <f t="shared" si="3"/>
        <v>146.0079221</v>
      </c>
      <c r="L46" s="159" t="e">
        <f>D46/"#REF!*100"</f>
        <v>#VALUE!</v>
      </c>
      <c r="M46" s="181">
        <v>10220.554547</v>
      </c>
      <c r="N46" s="165">
        <f>+M46-D46</f>
        <v>0</v>
      </c>
    </row>
    <row r="47" spans="1:14" s="162" customFormat="1" ht="18.95" customHeight="1">
      <c r="A47" s="706" t="s">
        <v>1404</v>
      </c>
      <c r="B47" s="693">
        <v>3000</v>
      </c>
      <c r="C47" s="719">
        <v>3000</v>
      </c>
      <c r="D47" s="698">
        <f t="shared" si="6"/>
        <v>3878.4313689999999</v>
      </c>
      <c r="E47" s="699">
        <f t="shared" si="5"/>
        <v>3878.4313689999999</v>
      </c>
      <c r="F47" s="700">
        <v>0</v>
      </c>
      <c r="G47" s="698">
        <v>12.63</v>
      </c>
      <c r="H47" s="698">
        <v>107.95024100000001</v>
      </c>
      <c r="I47" s="698">
        <v>3757.8511279999998</v>
      </c>
      <c r="J47" s="698">
        <f t="shared" si="2"/>
        <v>129.28104563333335</v>
      </c>
      <c r="K47" s="698">
        <f t="shared" si="3"/>
        <v>129.28104563333335</v>
      </c>
      <c r="L47" s="159"/>
      <c r="M47" s="181"/>
    </row>
    <row r="48" spans="1:14" s="162" customFormat="1" ht="18.95" customHeight="1">
      <c r="A48" s="706" t="s">
        <v>1405</v>
      </c>
      <c r="B48" s="693">
        <v>300000</v>
      </c>
      <c r="C48" s="719">
        <v>286000</v>
      </c>
      <c r="D48" s="698">
        <f>+F48+G48+H48+I48</f>
        <v>265230.208545</v>
      </c>
      <c r="E48" s="699">
        <f t="shared" si="5"/>
        <v>265230.208545</v>
      </c>
      <c r="F48" s="700">
        <v>0</v>
      </c>
      <c r="G48" s="698">
        <v>265230.208545</v>
      </c>
      <c r="H48" s="698"/>
      <c r="I48" s="698"/>
      <c r="J48" s="698">
        <f t="shared" si="2"/>
        <v>92.737835155594411</v>
      </c>
      <c r="K48" s="698">
        <f t="shared" si="3"/>
        <v>92.737835155594411</v>
      </c>
      <c r="L48" s="159" t="e">
        <f>D48/"#REF!*100"</f>
        <v>#VALUE!</v>
      </c>
    </row>
    <row r="49" spans="1:13" s="162" customFormat="1" ht="18.95" customHeight="1">
      <c r="A49" s="706" t="s">
        <v>1406</v>
      </c>
      <c r="B49" s="693">
        <v>270000</v>
      </c>
      <c r="C49" s="719">
        <v>270000</v>
      </c>
      <c r="D49" s="698">
        <f t="shared" si="6"/>
        <v>325932.60084700002</v>
      </c>
      <c r="E49" s="699">
        <f t="shared" si="5"/>
        <v>121246.93233900001</v>
      </c>
      <c r="F49" s="698">
        <v>204685.668508</v>
      </c>
      <c r="G49" s="698">
        <v>121246.93233900001</v>
      </c>
      <c r="H49" s="698"/>
      <c r="I49" s="698"/>
      <c r="J49" s="698">
        <f t="shared" si="2"/>
        <v>120.71577809148148</v>
      </c>
      <c r="K49" s="698">
        <f t="shared" si="3"/>
        <v>44.906271236666669</v>
      </c>
      <c r="L49" s="159"/>
    </row>
    <row r="50" spans="1:13" s="162" customFormat="1" ht="18.95" customHeight="1">
      <c r="A50" s="706" t="s">
        <v>1407</v>
      </c>
      <c r="B50" s="693">
        <f>+B51+B52</f>
        <v>72000</v>
      </c>
      <c r="C50" s="719">
        <v>70000</v>
      </c>
      <c r="D50" s="698">
        <f>+F50+G50+H50+I50</f>
        <v>83061.398038000014</v>
      </c>
      <c r="E50" s="698">
        <f>+E51+E52</f>
        <v>62838.054205</v>
      </c>
      <c r="F50" s="698">
        <f>+F51+F52</f>
        <v>20223.343832999999</v>
      </c>
      <c r="G50" s="698">
        <f>+G51+G52</f>
        <v>25847.564117999998</v>
      </c>
      <c r="H50" s="698">
        <f>+H51+H52</f>
        <v>12678.216612</v>
      </c>
      <c r="I50" s="698">
        <f>+I51+I52</f>
        <v>24312.273475000002</v>
      </c>
      <c r="J50" s="698">
        <f t="shared" si="2"/>
        <v>118.65914005428573</v>
      </c>
      <c r="K50" s="698">
        <f t="shared" si="3"/>
        <v>89.768648864285723</v>
      </c>
      <c r="L50" s="159" t="e">
        <f>D50/"#REF!*100"</f>
        <v>#VALUE!</v>
      </c>
      <c r="M50" s="165">
        <f>+D50-50130</f>
        <v>32931.398038000014</v>
      </c>
    </row>
    <row r="51" spans="1:13" ht="18.95" customHeight="1">
      <c r="A51" s="707" t="s">
        <v>1408</v>
      </c>
      <c r="B51" s="694">
        <v>16000</v>
      </c>
      <c r="C51" s="699" t="s">
        <v>158</v>
      </c>
      <c r="D51" s="699">
        <f>+F51+G51+H51+I51</f>
        <v>20427.843832999999</v>
      </c>
      <c r="E51" s="699">
        <f t="shared" si="5"/>
        <v>204.5</v>
      </c>
      <c r="F51" s="699">
        <v>20223.343832999999</v>
      </c>
      <c r="G51" s="699">
        <v>204.5</v>
      </c>
      <c r="H51" s="699"/>
      <c r="I51" s="699"/>
      <c r="J51" s="700">
        <v>0</v>
      </c>
      <c r="K51" s="700">
        <v>0</v>
      </c>
      <c r="L51" s="169" t="e">
        <f>D51/"#REF!*100"</f>
        <v>#VALUE!</v>
      </c>
    </row>
    <row r="52" spans="1:13" ht="18.95" customHeight="1">
      <c r="A52" s="707" t="s">
        <v>1409</v>
      </c>
      <c r="B52" s="694">
        <v>56000</v>
      </c>
      <c r="C52" s="699" t="s">
        <v>158</v>
      </c>
      <c r="D52" s="699">
        <f t="shared" si="6"/>
        <v>62633.554205</v>
      </c>
      <c r="E52" s="699">
        <f t="shared" si="5"/>
        <v>62633.554205</v>
      </c>
      <c r="F52" s="699"/>
      <c r="G52" s="699">
        <v>25643.064117999998</v>
      </c>
      <c r="H52" s="699">
        <v>12678.216612</v>
      </c>
      <c r="I52" s="699">
        <f>9324.33+14987.943475</f>
        <v>24312.273475000002</v>
      </c>
      <c r="J52" s="700">
        <v>0</v>
      </c>
      <c r="K52" s="700">
        <v>0</v>
      </c>
      <c r="L52" s="169" t="e">
        <f>D52/"#REF!*100"</f>
        <v>#VALUE!</v>
      </c>
      <c r="M52" s="142"/>
    </row>
    <row r="53" spans="1:13" s="162" customFormat="1" ht="18.95" customHeight="1">
      <c r="A53" s="706" t="s">
        <v>1410</v>
      </c>
      <c r="B53" s="693">
        <v>100000</v>
      </c>
      <c r="C53" s="719">
        <v>100000</v>
      </c>
      <c r="D53" s="698">
        <f t="shared" si="6"/>
        <v>338795.11958199996</v>
      </c>
      <c r="E53" s="699">
        <f t="shared" si="5"/>
        <v>338795.11958199996</v>
      </c>
      <c r="F53" s="698"/>
      <c r="G53" s="698">
        <v>186766.20176</v>
      </c>
      <c r="H53" s="698">
        <v>152028.91782199999</v>
      </c>
      <c r="I53" s="698"/>
      <c r="J53" s="698">
        <f t="shared" si="2"/>
        <v>338.79511958199993</v>
      </c>
      <c r="K53" s="698">
        <f t="shared" si="3"/>
        <v>338.79511958199993</v>
      </c>
      <c r="L53" s="159"/>
      <c r="M53" s="165"/>
    </row>
    <row r="54" spans="1:13" s="162" customFormat="1" ht="18.95" customHeight="1">
      <c r="A54" s="706" t="s">
        <v>1411</v>
      </c>
      <c r="B54" s="693">
        <v>100000</v>
      </c>
      <c r="C54" s="719">
        <v>100000</v>
      </c>
      <c r="D54" s="698">
        <f t="shared" si="6"/>
        <v>21941.696694000002</v>
      </c>
      <c r="E54" s="699">
        <f t="shared" si="5"/>
        <v>21941.696694000002</v>
      </c>
      <c r="F54" s="698"/>
      <c r="G54" s="698">
        <v>18429.237935000001</v>
      </c>
      <c r="H54" s="698">
        <v>3512.4587590000001</v>
      </c>
      <c r="I54" s="698"/>
      <c r="J54" s="698">
        <f t="shared" si="2"/>
        <v>21.941696694000001</v>
      </c>
      <c r="K54" s="698">
        <f t="shared" si="3"/>
        <v>21.941696694000001</v>
      </c>
      <c r="L54" s="159"/>
      <c r="M54" s="165"/>
    </row>
    <row r="55" spans="1:13" s="162" customFormat="1" ht="18.95" customHeight="1">
      <c r="A55" s="706" t="s">
        <v>1412</v>
      </c>
      <c r="B55" s="693"/>
      <c r="C55" s="698" t="s">
        <v>158</v>
      </c>
      <c r="D55" s="698">
        <f t="shared" si="6"/>
        <v>5144.2406899999996</v>
      </c>
      <c r="E55" s="699">
        <f t="shared" si="5"/>
        <v>5122.68869</v>
      </c>
      <c r="F55" s="698">
        <v>21.552</v>
      </c>
      <c r="G55" s="698">
        <v>5122.68869</v>
      </c>
      <c r="H55" s="698"/>
      <c r="I55" s="698"/>
      <c r="J55" s="698"/>
      <c r="K55" s="698"/>
      <c r="L55" s="159"/>
      <c r="M55" s="165"/>
    </row>
    <row r="56" spans="1:13" s="162" customFormat="1" ht="18.95" customHeight="1">
      <c r="A56" s="706" t="s">
        <v>1413</v>
      </c>
      <c r="B56" s="693">
        <v>131100</v>
      </c>
      <c r="C56" s="719">
        <f>135000-C59</f>
        <v>115000</v>
      </c>
      <c r="D56" s="698">
        <f t="shared" si="6"/>
        <v>158292.421978</v>
      </c>
      <c r="E56" s="699">
        <f t="shared" si="5"/>
        <v>80798.855054</v>
      </c>
      <c r="F56" s="698">
        <v>77493.566923999999</v>
      </c>
      <c r="G56" s="698">
        <f>82417.902615-24230.874657</f>
        <v>58187.027957999999</v>
      </c>
      <c r="H56" s="698">
        <f>22611.563368+0.263728</f>
        <v>22611.827096000001</v>
      </c>
      <c r="I56" s="698"/>
      <c r="J56" s="698">
        <f t="shared" si="2"/>
        <v>137.64558432869563</v>
      </c>
      <c r="K56" s="698">
        <f t="shared" si="3"/>
        <v>70.259873959999993</v>
      </c>
      <c r="L56" s="159"/>
      <c r="M56" s="165">
        <v>24230.874657</v>
      </c>
    </row>
    <row r="57" spans="1:13" s="162" customFormat="1" ht="18.95" customHeight="1">
      <c r="A57" s="706" t="s">
        <v>1414</v>
      </c>
      <c r="B57" s="693">
        <v>23000</v>
      </c>
      <c r="C57" s="698"/>
      <c r="D57" s="698">
        <f t="shared" si="6"/>
        <v>1357.83834</v>
      </c>
      <c r="E57" s="699">
        <f t="shared" si="5"/>
        <v>1357.83834</v>
      </c>
      <c r="F57" s="698"/>
      <c r="G57" s="698"/>
      <c r="H57" s="698"/>
      <c r="I57" s="698">
        <v>1357.83834</v>
      </c>
      <c r="J57" s="698"/>
      <c r="K57" s="698"/>
      <c r="L57" s="159"/>
      <c r="M57" s="165"/>
    </row>
    <row r="58" spans="1:13" s="162" customFormat="1" ht="18.95" customHeight="1">
      <c r="A58" s="706" t="s">
        <v>1415</v>
      </c>
      <c r="B58" s="693">
        <v>717000</v>
      </c>
      <c r="C58" s="719">
        <v>717000</v>
      </c>
      <c r="D58" s="698">
        <f>+F58+G58+H58+I58</f>
        <v>780591.41520499997</v>
      </c>
      <c r="E58" s="699">
        <f t="shared" si="5"/>
        <v>780591.41520499997</v>
      </c>
      <c r="F58" s="698"/>
      <c r="G58" s="698">
        <v>780591.41520499997</v>
      </c>
      <c r="H58" s="698"/>
      <c r="I58" s="698"/>
      <c r="J58" s="698">
        <f t="shared" si="2"/>
        <v>108.86909556555091</v>
      </c>
      <c r="K58" s="698">
        <f t="shared" si="3"/>
        <v>108.86909556555091</v>
      </c>
      <c r="L58" s="159"/>
      <c r="M58" s="165" t="s">
        <v>658</v>
      </c>
    </row>
    <row r="59" spans="1:13" s="162" customFormat="1" ht="18.95" customHeight="1">
      <c r="A59" s="706" t="s">
        <v>1416</v>
      </c>
      <c r="B59" s="693">
        <f>B60+B61+B62+B64</f>
        <v>0</v>
      </c>
      <c r="C59" s="719">
        <v>20000</v>
      </c>
      <c r="D59" s="698">
        <f>+F59+G59+H59+I59</f>
        <v>26089.222869000001</v>
      </c>
      <c r="E59" s="698">
        <f>+SUM(E60:E62)+E64</f>
        <v>26089.222869000001</v>
      </c>
      <c r="F59" s="698">
        <f>SUM(F60:F64)-F63</f>
        <v>0</v>
      </c>
      <c r="G59" s="698">
        <f>SUM(G60:G64)-G63</f>
        <v>0</v>
      </c>
      <c r="H59" s="698">
        <f>SUM(H60:H64)-H63</f>
        <v>0</v>
      </c>
      <c r="I59" s="698">
        <f>I60+I61+I62+I64</f>
        <v>26089.222869000001</v>
      </c>
      <c r="J59" s="698">
        <f t="shared" si="2"/>
        <v>130.44611434499998</v>
      </c>
      <c r="K59" s="698">
        <f t="shared" si="3"/>
        <v>130.44611434499998</v>
      </c>
      <c r="L59" s="159" t="e">
        <f>D59/"#REF!*100"</f>
        <v>#VALUE!</v>
      </c>
    </row>
    <row r="60" spans="1:13" ht="18.95" customHeight="1">
      <c r="A60" s="707" t="s">
        <v>1417</v>
      </c>
      <c r="B60" s="695">
        <v>0</v>
      </c>
      <c r="C60" s="700">
        <v>0</v>
      </c>
      <c r="D60" s="699">
        <f t="shared" si="6"/>
        <v>18</v>
      </c>
      <c r="E60" s="699">
        <f t="shared" si="5"/>
        <v>18</v>
      </c>
      <c r="F60" s="700">
        <v>0</v>
      </c>
      <c r="G60" s="700">
        <v>0</v>
      </c>
      <c r="H60" s="700">
        <v>0</v>
      </c>
      <c r="I60" s="699">
        <v>18</v>
      </c>
      <c r="J60" s="700">
        <v>0</v>
      </c>
      <c r="K60" s="700">
        <v>0</v>
      </c>
      <c r="L60" s="169" t="e">
        <f>D60/"#REF!*100"</f>
        <v>#VALUE!</v>
      </c>
    </row>
    <row r="61" spans="1:13" ht="18.95" customHeight="1">
      <c r="A61" s="707" t="s">
        <v>1418</v>
      </c>
      <c r="B61" s="695">
        <v>0</v>
      </c>
      <c r="C61" s="700">
        <v>0</v>
      </c>
      <c r="D61" s="699">
        <f t="shared" si="6"/>
        <v>416.84694500000001</v>
      </c>
      <c r="E61" s="699">
        <f t="shared" si="5"/>
        <v>416.84694500000001</v>
      </c>
      <c r="F61" s="700">
        <v>0</v>
      </c>
      <c r="G61" s="700">
        <v>0</v>
      </c>
      <c r="H61" s="700">
        <v>0</v>
      </c>
      <c r="I61" s="699">
        <v>416.84694500000001</v>
      </c>
      <c r="J61" s="700">
        <v>0</v>
      </c>
      <c r="K61" s="700">
        <v>0</v>
      </c>
      <c r="L61" s="169" t="e">
        <f>D61/"#REF!*100"</f>
        <v>#VALUE!</v>
      </c>
    </row>
    <row r="62" spans="1:13" ht="18.95" customHeight="1">
      <c r="A62" s="707" t="s">
        <v>1419</v>
      </c>
      <c r="B62" s="695">
        <v>0</v>
      </c>
      <c r="C62" s="700">
        <v>0</v>
      </c>
      <c r="D62" s="699">
        <f t="shared" si="6"/>
        <v>17980.343000000001</v>
      </c>
      <c r="E62" s="699">
        <f t="shared" si="5"/>
        <v>17980.343000000001</v>
      </c>
      <c r="F62" s="700">
        <v>0</v>
      </c>
      <c r="G62" s="700">
        <v>0</v>
      </c>
      <c r="H62" s="700">
        <v>0</v>
      </c>
      <c r="I62" s="699">
        <v>17980.343000000001</v>
      </c>
      <c r="J62" s="700">
        <v>0</v>
      </c>
      <c r="K62" s="700">
        <v>0</v>
      </c>
      <c r="L62" s="169" t="e">
        <f>D62/"#REF!*100"</f>
        <v>#VALUE!</v>
      </c>
    </row>
    <row r="63" spans="1:13" ht="18.95" customHeight="1">
      <c r="A63" s="708" t="s">
        <v>1420</v>
      </c>
      <c r="B63" s="695">
        <v>0</v>
      </c>
      <c r="C63" s="700">
        <v>0</v>
      </c>
      <c r="D63" s="701">
        <f t="shared" si="6"/>
        <v>3750.134</v>
      </c>
      <c r="E63" s="699">
        <f t="shared" si="5"/>
        <v>3750.134</v>
      </c>
      <c r="F63" s="700">
        <v>0</v>
      </c>
      <c r="G63" s="700">
        <v>0</v>
      </c>
      <c r="H63" s="700">
        <v>0</v>
      </c>
      <c r="I63" s="701">
        <v>3750.134</v>
      </c>
      <c r="J63" s="700">
        <v>0</v>
      </c>
      <c r="K63" s="700">
        <v>0</v>
      </c>
      <c r="L63" s="169"/>
    </row>
    <row r="64" spans="1:13" ht="18.95" customHeight="1">
      <c r="A64" s="707" t="s">
        <v>1421</v>
      </c>
      <c r="B64" s="695">
        <v>0</v>
      </c>
      <c r="C64" s="700">
        <v>0</v>
      </c>
      <c r="D64" s="699">
        <f t="shared" si="6"/>
        <v>7674.0329240000001</v>
      </c>
      <c r="E64" s="699">
        <f t="shared" si="5"/>
        <v>7674.0329240000001</v>
      </c>
      <c r="F64" s="700">
        <v>0</v>
      </c>
      <c r="G64" s="700">
        <v>0</v>
      </c>
      <c r="H64" s="700">
        <v>0</v>
      </c>
      <c r="I64" s="699">
        <v>7674.0329240000001</v>
      </c>
      <c r="J64" s="700">
        <v>0</v>
      </c>
      <c r="K64" s="700">
        <v>0</v>
      </c>
      <c r="L64" s="169" t="e">
        <f>D64/"#REF!*100"</f>
        <v>#VALUE!</v>
      </c>
    </row>
    <row r="65" spans="1:13" s="162" customFormat="1" ht="18.95" customHeight="1">
      <c r="A65" s="706" t="s">
        <v>1422</v>
      </c>
      <c r="B65" s="695">
        <v>0</v>
      </c>
      <c r="C65" s="700">
        <v>0</v>
      </c>
      <c r="D65" s="698">
        <f>D66+D67+D69+D70+D71</f>
        <v>1512.7189450000001</v>
      </c>
      <c r="E65" s="699">
        <f t="shared" si="5"/>
        <v>1512.7189450000001</v>
      </c>
      <c r="F65" s="698">
        <f>F66+F67+F69+F70+F71</f>
        <v>0</v>
      </c>
      <c r="G65" s="698">
        <f>+G66+G67+G69+G70+G71</f>
        <v>1512.7189450000001</v>
      </c>
      <c r="H65" s="698">
        <f>+H66+H67+H69+H70+H71</f>
        <v>0</v>
      </c>
      <c r="I65" s="698">
        <f>I66+I67+I69+I70+I71</f>
        <v>0</v>
      </c>
      <c r="J65" s="700">
        <v>0</v>
      </c>
      <c r="K65" s="700">
        <v>0</v>
      </c>
      <c r="L65" s="159" t="e">
        <f>D65/"#REF!*100"</f>
        <v>#VALUE!</v>
      </c>
    </row>
    <row r="66" spans="1:13" ht="18.95" customHeight="1">
      <c r="A66" s="707" t="s">
        <v>1423</v>
      </c>
      <c r="B66" s="695">
        <v>0</v>
      </c>
      <c r="C66" s="700">
        <v>0</v>
      </c>
      <c r="D66" s="699">
        <f t="shared" ref="D66:D71" si="8">+F66+G66+H66+I66</f>
        <v>1422.692272</v>
      </c>
      <c r="E66" s="699">
        <f t="shared" si="5"/>
        <v>1422.692272</v>
      </c>
      <c r="F66" s="699"/>
      <c r="G66" s="699">
        <v>1422.692272</v>
      </c>
      <c r="H66" s="699"/>
      <c r="I66" s="699"/>
      <c r="J66" s="700">
        <v>0</v>
      </c>
      <c r="K66" s="700">
        <v>0</v>
      </c>
      <c r="L66" s="169" t="e">
        <f>D66/"#REF!*100"</f>
        <v>#VALUE!</v>
      </c>
    </row>
    <row r="67" spans="1:13" ht="18.95" customHeight="1">
      <c r="A67" s="707" t="s">
        <v>1424</v>
      </c>
      <c r="B67" s="695">
        <v>0</v>
      </c>
      <c r="C67" s="700">
        <v>0</v>
      </c>
      <c r="D67" s="699">
        <f t="shared" si="8"/>
        <v>90.026673000000002</v>
      </c>
      <c r="E67" s="699">
        <f t="shared" si="5"/>
        <v>90.026673000000002</v>
      </c>
      <c r="F67" s="699"/>
      <c r="G67" s="699">
        <v>90.026673000000002</v>
      </c>
      <c r="H67" s="699"/>
      <c r="I67" s="699"/>
      <c r="J67" s="700">
        <v>0</v>
      </c>
      <c r="K67" s="700">
        <v>0</v>
      </c>
      <c r="L67" s="169" t="e">
        <f>D67/"#REF!*100"</f>
        <v>#VALUE!</v>
      </c>
    </row>
    <row r="68" spans="1:13" s="4" customFormat="1" ht="18" hidden="1" customHeight="1">
      <c r="A68" s="709" t="s">
        <v>258</v>
      </c>
      <c r="B68" s="696"/>
      <c r="C68" s="702"/>
      <c r="D68" s="702">
        <f t="shared" si="8"/>
        <v>0</v>
      </c>
      <c r="E68" s="702"/>
      <c r="F68" s="702"/>
      <c r="G68" s="702"/>
      <c r="H68" s="702"/>
      <c r="I68" s="702"/>
      <c r="J68" s="698" t="e">
        <f t="shared" si="2"/>
        <v>#DIV/0!</v>
      </c>
      <c r="K68" s="698" t="e">
        <f t="shared" si="3"/>
        <v>#DIV/0!</v>
      </c>
      <c r="L68" s="190"/>
    </row>
    <row r="69" spans="1:13" s="4" customFormat="1" ht="18" hidden="1" customHeight="1">
      <c r="A69" s="710" t="s">
        <v>259</v>
      </c>
      <c r="B69" s="697"/>
      <c r="C69" s="703"/>
      <c r="D69" s="703">
        <f t="shared" si="8"/>
        <v>0</v>
      </c>
      <c r="E69" s="703"/>
      <c r="F69" s="703"/>
      <c r="G69" s="703"/>
      <c r="H69" s="703"/>
      <c r="I69" s="703"/>
      <c r="J69" s="698" t="e">
        <f t="shared" si="2"/>
        <v>#DIV/0!</v>
      </c>
      <c r="K69" s="698" t="e">
        <f t="shared" si="3"/>
        <v>#DIV/0!</v>
      </c>
      <c r="L69" s="190" t="e">
        <f t="shared" ref="L69:L76" si="9">D69/"#REF!*100"</f>
        <v>#VALUE!</v>
      </c>
    </row>
    <row r="70" spans="1:13" s="4" customFormat="1" ht="18" hidden="1" customHeight="1">
      <c r="A70" s="710" t="s">
        <v>260</v>
      </c>
      <c r="B70" s="697"/>
      <c r="C70" s="703"/>
      <c r="D70" s="703">
        <f t="shared" si="8"/>
        <v>0</v>
      </c>
      <c r="E70" s="703"/>
      <c r="F70" s="703"/>
      <c r="G70" s="703"/>
      <c r="H70" s="703"/>
      <c r="I70" s="703"/>
      <c r="J70" s="698" t="e">
        <f t="shared" si="2"/>
        <v>#DIV/0!</v>
      </c>
      <c r="K70" s="698" t="e">
        <f t="shared" si="3"/>
        <v>#DIV/0!</v>
      </c>
      <c r="L70" s="190" t="e">
        <f t="shared" si="9"/>
        <v>#VALUE!</v>
      </c>
    </row>
    <row r="71" spans="1:13" s="4" customFormat="1" ht="18" hidden="1" customHeight="1">
      <c r="A71" s="710" t="s">
        <v>261</v>
      </c>
      <c r="B71" s="697"/>
      <c r="C71" s="703"/>
      <c r="D71" s="703">
        <f t="shared" si="8"/>
        <v>0</v>
      </c>
      <c r="E71" s="703"/>
      <c r="F71" s="703"/>
      <c r="G71" s="703"/>
      <c r="H71" s="703"/>
      <c r="I71" s="703"/>
      <c r="J71" s="698" t="e">
        <f t="shared" si="2"/>
        <v>#DIV/0!</v>
      </c>
      <c r="K71" s="698" t="e">
        <f t="shared" si="3"/>
        <v>#DIV/0!</v>
      </c>
      <c r="L71" s="190" t="e">
        <f t="shared" si="9"/>
        <v>#VALUE!</v>
      </c>
    </row>
    <row r="72" spans="1:13" s="162" customFormat="1" ht="18.95" customHeight="1">
      <c r="A72" s="706" t="s">
        <v>1425</v>
      </c>
      <c r="B72" s="693">
        <f>+B73+B74+B75+B76+B77</f>
        <v>120000</v>
      </c>
      <c r="C72" s="719">
        <v>120000</v>
      </c>
      <c r="D72" s="698">
        <f>D73+D74+D75+D76+D77</f>
        <v>16903.514629000001</v>
      </c>
      <c r="E72" s="699">
        <f t="shared" ref="E72:E76" si="10">+G72+H72+I72</f>
        <v>0</v>
      </c>
      <c r="F72" s="698">
        <f>F73+F74+F75+F76+F77</f>
        <v>16903.514629000001</v>
      </c>
      <c r="G72" s="698">
        <f>G73+G74+G75+G76+G77</f>
        <v>0</v>
      </c>
      <c r="H72" s="698">
        <f>H73+H74+H75+H76+H77</f>
        <v>0</v>
      </c>
      <c r="I72" s="698">
        <f>I73+I74+I75+I76+I77</f>
        <v>0</v>
      </c>
      <c r="J72" s="698">
        <f t="shared" si="2"/>
        <v>14.086262190833335</v>
      </c>
      <c r="K72" s="698">
        <f>E72/C72*100</f>
        <v>0</v>
      </c>
      <c r="L72" s="159" t="e">
        <f t="shared" si="9"/>
        <v>#VALUE!</v>
      </c>
      <c r="M72" s="162">
        <v>16903.514629000001</v>
      </c>
    </row>
    <row r="73" spans="1:13" ht="18.95" customHeight="1">
      <c r="A73" s="707" t="s">
        <v>1426</v>
      </c>
      <c r="B73" s="694"/>
      <c r="C73" s="700">
        <v>0</v>
      </c>
      <c r="D73" s="699">
        <f t="shared" ref="D73:D78" si="11">+F73+G73+H73+I73</f>
        <v>0</v>
      </c>
      <c r="E73" s="699">
        <f t="shared" si="10"/>
        <v>0</v>
      </c>
      <c r="F73" s="699"/>
      <c r="G73" s="700">
        <v>0</v>
      </c>
      <c r="H73" s="700">
        <v>0</v>
      </c>
      <c r="I73" s="700">
        <v>0</v>
      </c>
      <c r="J73" s="700">
        <v>0</v>
      </c>
      <c r="K73" s="700">
        <v>0</v>
      </c>
      <c r="L73" s="169" t="e">
        <f t="shared" si="9"/>
        <v>#VALUE!</v>
      </c>
      <c r="M73" s="142">
        <f>+M72-D72</f>
        <v>0</v>
      </c>
    </row>
    <row r="74" spans="1:13" ht="18.95" customHeight="1">
      <c r="A74" s="707" t="s">
        <v>1427</v>
      </c>
      <c r="B74" s="694">
        <v>40000</v>
      </c>
      <c r="C74" s="700">
        <v>0</v>
      </c>
      <c r="D74" s="699">
        <f t="shared" si="11"/>
        <v>1997.8223410000001</v>
      </c>
      <c r="E74" s="699">
        <f t="shared" si="10"/>
        <v>0</v>
      </c>
      <c r="F74" s="699">
        <v>1997.8223410000001</v>
      </c>
      <c r="G74" s="700">
        <v>0</v>
      </c>
      <c r="H74" s="700">
        <v>0</v>
      </c>
      <c r="I74" s="700">
        <v>0</v>
      </c>
      <c r="J74" s="700">
        <v>0</v>
      </c>
      <c r="K74" s="700">
        <v>0</v>
      </c>
      <c r="L74" s="169" t="e">
        <f t="shared" si="9"/>
        <v>#VALUE!</v>
      </c>
    </row>
    <row r="75" spans="1:13" ht="18.95" customHeight="1">
      <c r="A75" s="707" t="s">
        <v>1428</v>
      </c>
      <c r="B75" s="694"/>
      <c r="C75" s="700">
        <v>0</v>
      </c>
      <c r="D75" s="699">
        <f t="shared" si="11"/>
        <v>47.881602000000001</v>
      </c>
      <c r="E75" s="699">
        <f t="shared" si="10"/>
        <v>0</v>
      </c>
      <c r="F75" s="699">
        <v>47.881602000000001</v>
      </c>
      <c r="G75" s="700">
        <v>0</v>
      </c>
      <c r="H75" s="700">
        <v>0</v>
      </c>
      <c r="I75" s="700">
        <v>0</v>
      </c>
      <c r="J75" s="700">
        <v>0</v>
      </c>
      <c r="K75" s="700">
        <v>0</v>
      </c>
      <c r="L75" s="169" t="e">
        <f t="shared" si="9"/>
        <v>#VALUE!</v>
      </c>
    </row>
    <row r="76" spans="1:13" ht="18.95" customHeight="1">
      <c r="A76" s="707" t="s">
        <v>1429</v>
      </c>
      <c r="B76" s="694">
        <v>80000</v>
      </c>
      <c r="C76" s="700">
        <v>0</v>
      </c>
      <c r="D76" s="699">
        <f t="shared" si="11"/>
        <v>14580.688683</v>
      </c>
      <c r="E76" s="699">
        <f t="shared" si="10"/>
        <v>0</v>
      </c>
      <c r="F76" s="699">
        <v>14580.688683</v>
      </c>
      <c r="G76" s="700">
        <v>0</v>
      </c>
      <c r="H76" s="700">
        <v>0</v>
      </c>
      <c r="I76" s="700">
        <v>0</v>
      </c>
      <c r="J76" s="700">
        <v>0</v>
      </c>
      <c r="K76" s="700">
        <v>0</v>
      </c>
      <c r="L76" s="169" t="e">
        <f t="shared" si="9"/>
        <v>#VALUE!</v>
      </c>
      <c r="M76" s="139">
        <f>27900/1000000</f>
        <v>2.7900000000000001E-2</v>
      </c>
    </row>
    <row r="77" spans="1:13" ht="18.95" customHeight="1">
      <c r="A77" s="707" t="s">
        <v>1430</v>
      </c>
      <c r="B77" s="694"/>
      <c r="C77" s="700">
        <v>0</v>
      </c>
      <c r="D77" s="699">
        <f t="shared" si="11"/>
        <v>277.12200300000001</v>
      </c>
      <c r="E77" s="699">
        <f>+G77+H77+I77</f>
        <v>0</v>
      </c>
      <c r="F77" s="699">
        <v>277.12200300000001</v>
      </c>
      <c r="G77" s="700">
        <v>0</v>
      </c>
      <c r="H77" s="700">
        <v>0</v>
      </c>
      <c r="I77" s="700">
        <v>0</v>
      </c>
      <c r="J77" s="700">
        <v>0</v>
      </c>
      <c r="K77" s="700">
        <v>0</v>
      </c>
      <c r="L77" s="169"/>
    </row>
    <row r="78" spans="1:13" ht="18.95" customHeight="1">
      <c r="A78" s="706" t="s">
        <v>1431</v>
      </c>
      <c r="B78" s="693"/>
      <c r="C78" s="700">
        <v>0</v>
      </c>
      <c r="D78" s="698">
        <f t="shared" si="11"/>
        <v>0</v>
      </c>
      <c r="E78" s="699">
        <f>+G78+H78+I78</f>
        <v>0</v>
      </c>
      <c r="F78" s="698"/>
      <c r="G78" s="700">
        <v>0</v>
      </c>
      <c r="H78" s="700">
        <v>0</v>
      </c>
      <c r="I78" s="700">
        <v>0</v>
      </c>
      <c r="J78" s="700">
        <v>0</v>
      </c>
      <c r="K78" s="700">
        <v>0</v>
      </c>
      <c r="L78" s="169"/>
    </row>
    <row r="79" spans="1:13" s="162" customFormat="1" ht="18.95" customHeight="1">
      <c r="A79" s="706" t="s">
        <v>1432</v>
      </c>
      <c r="B79" s="695">
        <f>B80+B81</f>
        <v>0</v>
      </c>
      <c r="C79" s="700">
        <f>C80+C81</f>
        <v>0</v>
      </c>
      <c r="D79" s="698">
        <f>F79+G79+H79+I79</f>
        <v>25842.599047000003</v>
      </c>
      <c r="E79" s="699">
        <f t="shared" ref="E79:E91" si="12">+G79+H79+I79</f>
        <v>25842.599047000003</v>
      </c>
      <c r="F79" s="698">
        <f>F80+F81</f>
        <v>0</v>
      </c>
      <c r="G79" s="698">
        <f>G80+G81</f>
        <v>425</v>
      </c>
      <c r="H79" s="698">
        <f>H80+H81</f>
        <v>5773.8680000000004</v>
      </c>
      <c r="I79" s="698">
        <f>I80+I81</f>
        <v>19643.731047000001</v>
      </c>
      <c r="J79" s="700">
        <v>0</v>
      </c>
      <c r="K79" s="700">
        <v>0</v>
      </c>
      <c r="L79" s="159"/>
    </row>
    <row r="80" spans="1:13" ht="18.95" customHeight="1">
      <c r="A80" s="707" t="s">
        <v>1433</v>
      </c>
      <c r="B80" s="695">
        <v>0</v>
      </c>
      <c r="C80" s="700">
        <v>0</v>
      </c>
      <c r="D80" s="699">
        <f t="shared" ref="D80:D100" si="13">F80+G80+H80+I80</f>
        <v>23914.059047000002</v>
      </c>
      <c r="E80" s="699">
        <f t="shared" si="12"/>
        <v>23914.059047000002</v>
      </c>
      <c r="F80" s="699"/>
      <c r="G80" s="699"/>
      <c r="H80" s="699">
        <v>5741.8680000000004</v>
      </c>
      <c r="I80" s="699">
        <v>18172.191047</v>
      </c>
      <c r="J80" s="700">
        <v>0</v>
      </c>
      <c r="K80" s="700">
        <v>0</v>
      </c>
      <c r="L80" s="169"/>
    </row>
    <row r="81" spans="1:13" ht="18.95" customHeight="1">
      <c r="A81" s="707" t="s">
        <v>1434</v>
      </c>
      <c r="B81" s="695">
        <v>0</v>
      </c>
      <c r="C81" s="700">
        <v>0</v>
      </c>
      <c r="D81" s="699">
        <f t="shared" si="13"/>
        <v>1928.54</v>
      </c>
      <c r="E81" s="699">
        <f t="shared" si="12"/>
        <v>1928.54</v>
      </c>
      <c r="F81" s="699"/>
      <c r="G81" s="699">
        <v>425</v>
      </c>
      <c r="H81" s="699">
        <v>32</v>
      </c>
      <c r="I81" s="699">
        <v>1471.54</v>
      </c>
      <c r="J81" s="700">
        <v>0</v>
      </c>
      <c r="K81" s="700">
        <v>0</v>
      </c>
      <c r="L81" s="169"/>
    </row>
    <row r="82" spans="1:13" s="162" customFormat="1" ht="18.95" customHeight="1">
      <c r="A82" s="706" t="s">
        <v>1435</v>
      </c>
      <c r="B82" s="695">
        <f>B83+B84</f>
        <v>0</v>
      </c>
      <c r="C82" s="700">
        <f>C83+C84</f>
        <v>0</v>
      </c>
      <c r="D82" s="700">
        <f t="shared" si="13"/>
        <v>0</v>
      </c>
      <c r="E82" s="700">
        <f t="shared" si="12"/>
        <v>0</v>
      </c>
      <c r="F82" s="698">
        <f>F83+F84</f>
        <v>0</v>
      </c>
      <c r="G82" s="698">
        <f>G83+G84</f>
        <v>0</v>
      </c>
      <c r="H82" s="698">
        <f>H83+H84</f>
        <v>0</v>
      </c>
      <c r="I82" s="698">
        <f>I83+I84</f>
        <v>0</v>
      </c>
      <c r="J82" s="700">
        <v>0</v>
      </c>
      <c r="K82" s="700">
        <v>0</v>
      </c>
      <c r="L82" s="159"/>
    </row>
    <row r="83" spans="1:13" ht="18.95" customHeight="1">
      <c r="A83" s="707" t="s">
        <v>1436</v>
      </c>
      <c r="B83" s="694"/>
      <c r="C83" s="700">
        <v>0</v>
      </c>
      <c r="D83" s="700">
        <f t="shared" si="13"/>
        <v>0</v>
      </c>
      <c r="E83" s="700">
        <f t="shared" si="12"/>
        <v>0</v>
      </c>
      <c r="F83" s="699"/>
      <c r="G83" s="699"/>
      <c r="H83" s="699"/>
      <c r="I83" s="699"/>
      <c r="J83" s="700">
        <v>0</v>
      </c>
      <c r="K83" s="700">
        <v>0</v>
      </c>
      <c r="L83" s="169"/>
    </row>
    <row r="84" spans="1:13" s="576" customFormat="1" ht="18.95" customHeight="1">
      <c r="A84" s="706" t="s">
        <v>1437</v>
      </c>
      <c r="B84" s="693"/>
      <c r="C84" s="700">
        <v>0</v>
      </c>
      <c r="D84" s="700">
        <f t="shared" si="13"/>
        <v>0</v>
      </c>
      <c r="E84" s="700">
        <f t="shared" si="12"/>
        <v>0</v>
      </c>
      <c r="F84" s="698"/>
      <c r="G84" s="698"/>
      <c r="H84" s="698"/>
      <c r="I84" s="698"/>
      <c r="J84" s="700">
        <v>0</v>
      </c>
      <c r="K84" s="700">
        <v>0</v>
      </c>
      <c r="L84" s="575"/>
    </row>
    <row r="85" spans="1:13" s="162" customFormat="1" ht="32.25" hidden="1" customHeight="1">
      <c r="A85" s="706" t="s">
        <v>274</v>
      </c>
      <c r="B85" s="693">
        <f>B86+B89</f>
        <v>0</v>
      </c>
      <c r="C85" s="698">
        <f>C86+C89</f>
        <v>0</v>
      </c>
      <c r="D85" s="699">
        <f t="shared" si="13"/>
        <v>0</v>
      </c>
      <c r="E85" s="699">
        <f t="shared" si="12"/>
        <v>0</v>
      </c>
      <c r="F85" s="698">
        <f>F86+F89</f>
        <v>0</v>
      </c>
      <c r="G85" s="698">
        <f>G86+G89</f>
        <v>0</v>
      </c>
      <c r="H85" s="698">
        <f>H86+H89</f>
        <v>0</v>
      </c>
      <c r="I85" s="698">
        <f>I86+I89</f>
        <v>0</v>
      </c>
      <c r="J85" s="698"/>
      <c r="K85" s="698"/>
      <c r="L85" s="159"/>
    </row>
    <row r="86" spans="1:13" s="162" customFormat="1" ht="18.75" hidden="1" customHeight="1">
      <c r="A86" s="706" t="s">
        <v>275</v>
      </c>
      <c r="B86" s="693">
        <f>B87+B88</f>
        <v>0</v>
      </c>
      <c r="C86" s="698">
        <f>C87+C88</f>
        <v>0</v>
      </c>
      <c r="D86" s="699">
        <f t="shared" si="13"/>
        <v>0</v>
      </c>
      <c r="E86" s="699">
        <f t="shared" si="12"/>
        <v>0</v>
      </c>
      <c r="F86" s="698">
        <f>F87+F88</f>
        <v>0</v>
      </c>
      <c r="G86" s="698">
        <f>G87+G88</f>
        <v>0</v>
      </c>
      <c r="H86" s="698">
        <f>H87+H88</f>
        <v>0</v>
      </c>
      <c r="I86" s="698">
        <f>I87+I88</f>
        <v>0</v>
      </c>
      <c r="J86" s="698"/>
      <c r="K86" s="698"/>
      <c r="L86" s="159"/>
    </row>
    <row r="87" spans="1:13" ht="18.75" hidden="1" customHeight="1">
      <c r="A87" s="707" t="s">
        <v>276</v>
      </c>
      <c r="B87" s="694"/>
      <c r="C87" s="699"/>
      <c r="D87" s="699">
        <f t="shared" si="13"/>
        <v>0</v>
      </c>
      <c r="E87" s="699">
        <f t="shared" si="12"/>
        <v>0</v>
      </c>
      <c r="F87" s="699"/>
      <c r="G87" s="699"/>
      <c r="H87" s="699"/>
      <c r="I87" s="699"/>
      <c r="J87" s="698"/>
      <c r="K87" s="699"/>
      <c r="L87" s="169"/>
    </row>
    <row r="88" spans="1:13" ht="18.75" hidden="1" customHeight="1">
      <c r="A88" s="707" t="s">
        <v>277</v>
      </c>
      <c r="B88" s="694"/>
      <c r="C88" s="699"/>
      <c r="D88" s="699">
        <f t="shared" si="13"/>
        <v>0</v>
      </c>
      <c r="E88" s="699">
        <f t="shared" si="12"/>
        <v>0</v>
      </c>
      <c r="F88" s="699"/>
      <c r="G88" s="699"/>
      <c r="H88" s="699"/>
      <c r="I88" s="699"/>
      <c r="J88" s="698"/>
      <c r="K88" s="699"/>
      <c r="L88" s="169"/>
    </row>
    <row r="89" spans="1:13" s="162" customFormat="1" ht="18" hidden="1" customHeight="1">
      <c r="A89" s="706" t="s">
        <v>278</v>
      </c>
      <c r="B89" s="693">
        <f>B90+B91</f>
        <v>0</v>
      </c>
      <c r="C89" s="698">
        <f>C90+C91</f>
        <v>0</v>
      </c>
      <c r="D89" s="699">
        <f t="shared" si="13"/>
        <v>0</v>
      </c>
      <c r="E89" s="699">
        <f t="shared" si="12"/>
        <v>0</v>
      </c>
      <c r="F89" s="698">
        <f>F90+F91</f>
        <v>0</v>
      </c>
      <c r="G89" s="698">
        <f>G90+G91</f>
        <v>0</v>
      </c>
      <c r="H89" s="698">
        <f>H90+H91</f>
        <v>0</v>
      </c>
      <c r="I89" s="698">
        <f>I90+I91</f>
        <v>0</v>
      </c>
      <c r="J89" s="698"/>
      <c r="K89" s="698"/>
      <c r="L89" s="159"/>
    </row>
    <row r="90" spans="1:13" ht="18.75" hidden="1" customHeight="1">
      <c r="A90" s="707" t="s">
        <v>276</v>
      </c>
      <c r="B90" s="694"/>
      <c r="C90" s="699"/>
      <c r="D90" s="699">
        <f t="shared" si="13"/>
        <v>0</v>
      </c>
      <c r="E90" s="699">
        <f t="shared" si="12"/>
        <v>0</v>
      </c>
      <c r="F90" s="699"/>
      <c r="G90" s="699"/>
      <c r="H90" s="699"/>
      <c r="I90" s="699"/>
      <c r="J90" s="698"/>
      <c r="K90" s="699"/>
      <c r="L90" s="169"/>
    </row>
    <row r="91" spans="1:13" hidden="1">
      <c r="A91" s="707" t="s">
        <v>277</v>
      </c>
      <c r="B91" s="694"/>
      <c r="C91" s="699"/>
      <c r="D91" s="699">
        <f t="shared" si="13"/>
        <v>0</v>
      </c>
      <c r="E91" s="699">
        <f t="shared" si="12"/>
        <v>0</v>
      </c>
      <c r="F91" s="699"/>
      <c r="G91" s="699"/>
      <c r="H91" s="699"/>
      <c r="I91" s="699"/>
      <c r="J91" s="698"/>
      <c r="K91" s="699"/>
      <c r="L91" s="169"/>
      <c r="M91" s="142">
        <f>G98+H98</f>
        <v>515.46299999999997</v>
      </c>
    </row>
    <row r="92" spans="1:13" s="162" customFormat="1" ht="18.95" customHeight="1">
      <c r="A92" s="706" t="s">
        <v>1438</v>
      </c>
      <c r="B92" s="693">
        <f>B93+B98</f>
        <v>0</v>
      </c>
      <c r="C92" s="700">
        <f>C93+C98</f>
        <v>0</v>
      </c>
      <c r="D92" s="698">
        <f>F92+G92+H92+I92+26965</f>
        <v>9385416.2566500027</v>
      </c>
      <c r="E92" s="698">
        <f>+E93+E98+26965</f>
        <v>4981052.447168001</v>
      </c>
      <c r="F92" s="698">
        <f>F93+F98</f>
        <v>2655</v>
      </c>
      <c r="G92" s="698">
        <f>G93+G98</f>
        <v>4953789.447168001</v>
      </c>
      <c r="H92" s="698">
        <f>H93+H98</f>
        <v>3530126.5199640002</v>
      </c>
      <c r="I92" s="698">
        <f>I93+I98</f>
        <v>871880.28951799998</v>
      </c>
      <c r="J92" s="700">
        <v>0</v>
      </c>
      <c r="K92" s="700">
        <v>0</v>
      </c>
      <c r="L92" s="159"/>
    </row>
    <row r="93" spans="1:13" s="162" customFormat="1" ht="18" hidden="1" customHeight="1">
      <c r="A93" s="706" t="s">
        <v>280</v>
      </c>
      <c r="B93" s="693">
        <f>B94+B95</f>
        <v>0</v>
      </c>
      <c r="C93" s="698">
        <f>C94+C95</f>
        <v>0</v>
      </c>
      <c r="D93" s="698">
        <f t="shared" si="13"/>
        <v>9355280.7936500013</v>
      </c>
      <c r="E93" s="698">
        <f>+E94+E95</f>
        <v>4953571.9841680005</v>
      </c>
      <c r="F93" s="698">
        <f>F94+F95</f>
        <v>0</v>
      </c>
      <c r="G93" s="698">
        <f>G94+G95</f>
        <v>4953571.9841680005</v>
      </c>
      <c r="H93" s="698">
        <f>H94+H95</f>
        <v>3529828.5199640002</v>
      </c>
      <c r="I93" s="698">
        <f>I94+I95</f>
        <v>871880.28951799998</v>
      </c>
      <c r="J93" s="698"/>
      <c r="K93" s="698"/>
      <c r="L93" s="159"/>
    </row>
    <row r="94" spans="1:13" s="162" customFormat="1" ht="18" hidden="1" customHeight="1">
      <c r="A94" s="706" t="s">
        <v>281</v>
      </c>
      <c r="B94" s="693"/>
      <c r="C94" s="698"/>
      <c r="D94" s="698">
        <f t="shared" si="13"/>
        <v>6217781.6362659996</v>
      </c>
      <c r="E94" s="698">
        <f>+G94</f>
        <v>3196428</v>
      </c>
      <c r="F94" s="698"/>
      <c r="G94" s="698">
        <v>3196428</v>
      </c>
      <c r="H94" s="698">
        <v>2463207</v>
      </c>
      <c r="I94" s="698">
        <v>558146.63626599999</v>
      </c>
      <c r="J94" s="698"/>
      <c r="K94" s="698"/>
      <c r="L94" s="159"/>
    </row>
    <row r="95" spans="1:13" s="162" customFormat="1" ht="18" hidden="1" customHeight="1">
      <c r="A95" s="706" t="s">
        <v>282</v>
      </c>
      <c r="B95" s="693">
        <f>B96+B97</f>
        <v>0</v>
      </c>
      <c r="C95" s="698">
        <f>C96+C97</f>
        <v>0</v>
      </c>
      <c r="D95" s="698">
        <f>F95+G95+H95+I95</f>
        <v>3137499.1573839998</v>
      </c>
      <c r="E95" s="698">
        <f>+G95</f>
        <v>1757143.9841680001</v>
      </c>
      <c r="F95" s="698">
        <f>F96+F97</f>
        <v>0</v>
      </c>
      <c r="G95" s="698">
        <f>G96+G97</f>
        <v>1757143.9841680001</v>
      </c>
      <c r="H95" s="698">
        <f>H96+H97</f>
        <v>1066621.519964</v>
      </c>
      <c r="I95" s="698">
        <f>I96+I97</f>
        <v>313733.65325199999</v>
      </c>
      <c r="J95" s="698"/>
      <c r="K95" s="698"/>
      <c r="L95" s="159"/>
    </row>
    <row r="96" spans="1:13" ht="18" hidden="1" customHeight="1">
      <c r="A96" s="707" t="s">
        <v>283</v>
      </c>
      <c r="B96" s="694"/>
      <c r="C96" s="699"/>
      <c r="D96" s="699">
        <f t="shared" si="13"/>
        <v>2770618.4005610002</v>
      </c>
      <c r="E96" s="698">
        <f>+G96</f>
        <v>1390263.227345</v>
      </c>
      <c r="F96" s="699"/>
      <c r="G96" s="704">
        <v>1390263.227345</v>
      </c>
      <c r="H96" s="699">
        <v>1066621.519964</v>
      </c>
      <c r="I96" s="699">
        <v>313733.65325199999</v>
      </c>
      <c r="J96" s="698"/>
      <c r="K96" s="699"/>
      <c r="L96" s="169"/>
      <c r="M96" s="142">
        <f>G96+G97</f>
        <v>1757143.9841680001</v>
      </c>
    </row>
    <row r="97" spans="1:14" ht="18" hidden="1" customHeight="1">
      <c r="A97" s="707" t="s">
        <v>284</v>
      </c>
      <c r="B97" s="694"/>
      <c r="C97" s="699"/>
      <c r="D97" s="699">
        <f t="shared" si="13"/>
        <v>366880.75682299997</v>
      </c>
      <c r="E97" s="698">
        <f>+G97</f>
        <v>366880.75682299997</v>
      </c>
      <c r="F97" s="699"/>
      <c r="G97" s="699">
        <v>366880.75682299997</v>
      </c>
      <c r="H97" s="699"/>
      <c r="I97" s="699"/>
      <c r="J97" s="698"/>
      <c r="K97" s="699"/>
      <c r="L97" s="169"/>
      <c r="M97" s="139">
        <v>1664334.9840579999</v>
      </c>
      <c r="N97" s="142">
        <f>M96-M97</f>
        <v>92809.000110000139</v>
      </c>
    </row>
    <row r="98" spans="1:14" s="162" customFormat="1" ht="18" hidden="1" customHeight="1">
      <c r="A98" s="706" t="s">
        <v>285</v>
      </c>
      <c r="B98" s="693"/>
      <c r="C98" s="698"/>
      <c r="D98" s="698">
        <f t="shared" si="13"/>
        <v>3170.4630000000002</v>
      </c>
      <c r="E98" s="698">
        <f>G98+H98</f>
        <v>515.46299999999997</v>
      </c>
      <c r="F98" s="698">
        <v>2655</v>
      </c>
      <c r="G98" s="698">
        <v>217.46299999999999</v>
      </c>
      <c r="H98" s="698">
        <v>298</v>
      </c>
      <c r="I98" s="698"/>
      <c r="J98" s="698"/>
      <c r="K98" s="698"/>
      <c r="L98" s="159"/>
    </row>
    <row r="99" spans="1:14" s="162" customFormat="1" ht="18.95" customHeight="1">
      <c r="A99" s="706" t="s">
        <v>1439</v>
      </c>
      <c r="B99" s="693"/>
      <c r="C99" s="700">
        <v>0</v>
      </c>
      <c r="D99" s="698">
        <f t="shared" si="13"/>
        <v>988742.91058799997</v>
      </c>
      <c r="E99" s="698">
        <f>+G99+H99+I99</f>
        <v>988742.91058799997</v>
      </c>
      <c r="F99" s="698"/>
      <c r="G99" s="698">
        <v>761269.25030700001</v>
      </c>
      <c r="H99" s="698">
        <v>208973.69497300001</v>
      </c>
      <c r="I99" s="698">
        <v>18499.965307999999</v>
      </c>
      <c r="J99" s="700">
        <v>0</v>
      </c>
      <c r="K99" s="700">
        <v>0</v>
      </c>
      <c r="L99" s="159"/>
      <c r="M99" s="162">
        <v>988742.91058799997</v>
      </c>
      <c r="N99" s="165">
        <f>+M99-D99</f>
        <v>0</v>
      </c>
    </row>
    <row r="100" spans="1:14" s="162" customFormat="1" ht="18.95" customHeight="1">
      <c r="A100" s="706" t="s">
        <v>1440</v>
      </c>
      <c r="B100" s="693"/>
      <c r="C100" s="700">
        <v>0</v>
      </c>
      <c r="D100" s="698">
        <f t="shared" si="13"/>
        <v>63134.217701000001</v>
      </c>
      <c r="E100" s="698">
        <f>+H100+I100</f>
        <v>63134.217701000001</v>
      </c>
      <c r="F100" s="698"/>
      <c r="G100" s="698"/>
      <c r="H100" s="698">
        <v>47887.595966000001</v>
      </c>
      <c r="I100" s="698">
        <v>15246.621735000001</v>
      </c>
      <c r="J100" s="700">
        <v>0</v>
      </c>
      <c r="K100" s="700">
        <v>0</v>
      </c>
      <c r="L100" s="159"/>
    </row>
    <row r="101" spans="1:14" s="206" customFormat="1" ht="18" hidden="1" customHeight="1">
      <c r="A101" s="689" t="s">
        <v>288</v>
      </c>
      <c r="B101" s="690">
        <v>0</v>
      </c>
      <c r="C101" s="690">
        <v>0</v>
      </c>
      <c r="D101" s="690">
        <f>+F101+G101+H101+I101</f>
        <v>0</v>
      </c>
      <c r="E101" s="690"/>
      <c r="F101" s="690">
        <v>0</v>
      </c>
      <c r="G101" s="691"/>
      <c r="H101" s="690">
        <v>0</v>
      </c>
      <c r="I101" s="690"/>
      <c r="J101" s="579"/>
      <c r="K101" s="690"/>
      <c r="L101" s="205"/>
      <c r="M101" s="206" t="s">
        <v>289</v>
      </c>
    </row>
    <row r="102" spans="1:14" s="162" customFormat="1" ht="18" hidden="1" customHeight="1">
      <c r="A102" s="207" t="s">
        <v>290</v>
      </c>
      <c r="B102" s="199"/>
      <c r="C102" s="199"/>
      <c r="D102" s="199">
        <f>+F102+G102+H102+I102</f>
        <v>0</v>
      </c>
      <c r="E102" s="199"/>
      <c r="F102" s="199"/>
      <c r="G102" s="200"/>
      <c r="H102" s="199"/>
      <c r="I102" s="199"/>
      <c r="J102" s="201"/>
      <c r="K102" s="199"/>
      <c r="L102" s="159" t="e">
        <f>D102/"#REF!*100"</f>
        <v>#VALUE!</v>
      </c>
    </row>
    <row r="103" spans="1:14" s="162" customFormat="1" ht="18" hidden="1" customHeight="1">
      <c r="A103" s="207" t="s">
        <v>291</v>
      </c>
      <c r="B103" s="199">
        <v>0</v>
      </c>
      <c r="C103" s="199">
        <v>0</v>
      </c>
      <c r="D103" s="199">
        <f>+F103+G103+H103+I103</f>
        <v>0</v>
      </c>
      <c r="E103" s="199"/>
      <c r="F103" s="199"/>
      <c r="G103" s="200"/>
      <c r="H103" s="199"/>
      <c r="I103" s="199"/>
      <c r="J103" s="201"/>
      <c r="K103" s="199"/>
      <c r="L103" s="159" t="e">
        <f>D103/"#REF!*100"</f>
        <v>#VALUE!</v>
      </c>
    </row>
    <row r="104" spans="1:14" s="162" customFormat="1" ht="18" hidden="1" customHeight="1">
      <c r="A104" s="207" t="s">
        <v>292</v>
      </c>
      <c r="B104" s="199">
        <v>0</v>
      </c>
      <c r="C104" s="199"/>
      <c r="D104" s="199">
        <f>+F104+G104+H104+I104</f>
        <v>0</v>
      </c>
      <c r="E104" s="199"/>
      <c r="F104" s="199"/>
      <c r="G104" s="200"/>
      <c r="H104" s="199"/>
      <c r="I104" s="199"/>
      <c r="J104" s="201"/>
      <c r="K104" s="199"/>
      <c r="L104" s="159" t="e">
        <f>D104/"#REF!*100"</f>
        <v>#VALUE!</v>
      </c>
    </row>
    <row r="105" spans="1:14" ht="18" hidden="1" customHeight="1">
      <c r="A105" s="207" t="s">
        <v>293</v>
      </c>
      <c r="B105" s="199">
        <f>SUM(B107:B108)</f>
        <v>0</v>
      </c>
      <c r="C105" s="199">
        <f>+C107+C108+C109</f>
        <v>0</v>
      </c>
      <c r="D105" s="200">
        <f>+D107+D108+D109</f>
        <v>0</v>
      </c>
      <c r="E105" s="200"/>
      <c r="F105" s="199">
        <f>F107+F108+F109</f>
        <v>0</v>
      </c>
      <c r="G105" s="200">
        <f>G107+G108+G109</f>
        <v>0</v>
      </c>
      <c r="H105" s="199">
        <f>H107+H108+H109</f>
        <v>0</v>
      </c>
      <c r="I105" s="199">
        <f>I107+I108+I109</f>
        <v>0</v>
      </c>
      <c r="J105" s="201"/>
      <c r="K105" s="199" t="e">
        <f>+D105/C105*100</f>
        <v>#DIV/0!</v>
      </c>
      <c r="L105" s="159" t="e">
        <f>D105/"#REF!*100"</f>
        <v>#VALUE!</v>
      </c>
    </row>
    <row r="106" spans="1:14" ht="18" hidden="1" customHeight="1">
      <c r="A106" s="207" t="s">
        <v>294</v>
      </c>
      <c r="B106" s="201"/>
      <c r="C106" s="201"/>
      <c r="D106" s="199"/>
      <c r="E106" s="199"/>
      <c r="F106" s="201"/>
      <c r="G106" s="208"/>
      <c r="H106" s="201"/>
      <c r="I106" s="201"/>
      <c r="J106" s="201"/>
      <c r="K106" s="201"/>
      <c r="L106" s="169"/>
    </row>
    <row r="107" spans="1:14" ht="18" hidden="1" customHeight="1">
      <c r="A107" s="209" t="s">
        <v>295</v>
      </c>
      <c r="B107" s="201">
        <v>0</v>
      </c>
      <c r="C107" s="210"/>
      <c r="D107" s="201">
        <f>G107+H107+I107</f>
        <v>0</v>
      </c>
      <c r="E107" s="201"/>
      <c r="F107" s="201"/>
      <c r="G107" s="208"/>
      <c r="H107" s="201"/>
      <c r="I107" s="201"/>
      <c r="J107" s="201"/>
      <c r="K107" s="201"/>
      <c r="L107" s="169" t="e">
        <f t="shared" ref="L107:L113" si="14">D107/"#REF!*100"</f>
        <v>#VALUE!</v>
      </c>
      <c r="M107" s="142">
        <f>+D107+D108</f>
        <v>0</v>
      </c>
    </row>
    <row r="108" spans="1:14" ht="18" hidden="1" customHeight="1">
      <c r="A108" s="209" t="s">
        <v>296</v>
      </c>
      <c r="B108" s="201">
        <v>0</v>
      </c>
      <c r="C108" s="201">
        <v>0</v>
      </c>
      <c r="D108" s="201">
        <f t="shared" ref="D108:D114" si="15">G108+H108+I108</f>
        <v>0</v>
      </c>
      <c r="E108" s="201"/>
      <c r="F108" s="201"/>
      <c r="G108" s="208"/>
      <c r="H108" s="201"/>
      <c r="I108" s="201"/>
      <c r="J108" s="201"/>
      <c r="K108" s="201"/>
      <c r="L108" s="169" t="e">
        <f t="shared" si="14"/>
        <v>#VALUE!</v>
      </c>
    </row>
    <row r="109" spans="1:14" ht="18" hidden="1" customHeight="1">
      <c r="A109" s="209" t="s">
        <v>297</v>
      </c>
      <c r="B109" s="201"/>
      <c r="C109" s="201"/>
      <c r="D109" s="208">
        <f>+D110+D111+D112+D113+D114</f>
        <v>0</v>
      </c>
      <c r="E109" s="208"/>
      <c r="F109" s="201">
        <f>SUM(F110:F113)</f>
        <v>0</v>
      </c>
      <c r="G109" s="208">
        <f>+G110+G111+G112+G113+G114</f>
        <v>0</v>
      </c>
      <c r="H109" s="201">
        <f>SUM(H110:H113)</f>
        <v>0</v>
      </c>
      <c r="I109" s="201">
        <f>SUM(I110:I113)</f>
        <v>0</v>
      </c>
      <c r="J109" s="201"/>
      <c r="K109" s="201" t="e">
        <f>+D109/C109*100</f>
        <v>#DIV/0!</v>
      </c>
      <c r="L109" s="169" t="e">
        <f t="shared" si="14"/>
        <v>#VALUE!</v>
      </c>
    </row>
    <row r="110" spans="1:14" ht="18" hidden="1" customHeight="1">
      <c r="A110" s="209" t="s">
        <v>298</v>
      </c>
      <c r="B110" s="201"/>
      <c r="C110" s="201"/>
      <c r="D110" s="201">
        <f t="shared" si="15"/>
        <v>0</v>
      </c>
      <c r="E110" s="201"/>
      <c r="F110" s="201"/>
      <c r="G110" s="208"/>
      <c r="H110" s="201"/>
      <c r="I110" s="201"/>
      <c r="J110" s="201"/>
      <c r="K110" s="201"/>
      <c r="L110" s="169" t="e">
        <f t="shared" si="14"/>
        <v>#VALUE!</v>
      </c>
    </row>
    <row r="111" spans="1:14" ht="18" hidden="1" customHeight="1">
      <c r="A111" s="209" t="s">
        <v>222</v>
      </c>
      <c r="B111" s="201"/>
      <c r="C111" s="201"/>
      <c r="D111" s="201">
        <f t="shared" si="15"/>
        <v>0</v>
      </c>
      <c r="E111" s="201"/>
      <c r="F111" s="201"/>
      <c r="G111" s="208"/>
      <c r="H111" s="201"/>
      <c r="I111" s="201"/>
      <c r="J111" s="201"/>
      <c r="K111" s="201"/>
      <c r="L111" s="169" t="e">
        <f t="shared" si="14"/>
        <v>#VALUE!</v>
      </c>
    </row>
    <row r="112" spans="1:14" ht="18" hidden="1" customHeight="1">
      <c r="A112" s="209" t="s">
        <v>299</v>
      </c>
      <c r="B112" s="201"/>
      <c r="C112" s="201"/>
      <c r="D112" s="201">
        <f t="shared" si="15"/>
        <v>0</v>
      </c>
      <c r="E112" s="201"/>
      <c r="F112" s="201"/>
      <c r="G112" s="208"/>
      <c r="H112" s="201"/>
      <c r="I112" s="201"/>
      <c r="J112" s="201"/>
      <c r="K112" s="201"/>
      <c r="L112" s="169" t="e">
        <f t="shared" si="14"/>
        <v>#VALUE!</v>
      </c>
    </row>
    <row r="113" spans="1:14" ht="18" hidden="1" customHeight="1">
      <c r="A113" s="209" t="s">
        <v>300</v>
      </c>
      <c r="B113" s="201"/>
      <c r="C113" s="201"/>
      <c r="D113" s="201">
        <f t="shared" si="15"/>
        <v>0</v>
      </c>
      <c r="E113" s="201"/>
      <c r="F113" s="201"/>
      <c r="G113" s="208"/>
      <c r="H113" s="201"/>
      <c r="I113" s="201"/>
      <c r="J113" s="201"/>
      <c r="K113" s="201"/>
      <c r="L113" s="169" t="e">
        <f t="shared" si="14"/>
        <v>#VALUE!</v>
      </c>
    </row>
    <row r="114" spans="1:14" ht="18" hidden="1" customHeight="1">
      <c r="A114" s="209" t="s">
        <v>301</v>
      </c>
      <c r="B114" s="201"/>
      <c r="C114" s="201"/>
      <c r="D114" s="201">
        <f t="shared" si="15"/>
        <v>0</v>
      </c>
      <c r="E114" s="201"/>
      <c r="F114" s="201"/>
      <c r="G114" s="208"/>
      <c r="H114" s="201"/>
      <c r="I114" s="201"/>
      <c r="J114" s="201"/>
      <c r="K114" s="201"/>
      <c r="L114" s="169"/>
    </row>
    <row r="115" spans="1:14" ht="18" hidden="1" customHeight="1">
      <c r="A115" s="207" t="s">
        <v>302</v>
      </c>
      <c r="B115" s="211">
        <f>+B116+B117</f>
        <v>0</v>
      </c>
      <c r="C115" s="211">
        <f>+C116+C117</f>
        <v>0</v>
      </c>
      <c r="D115" s="199">
        <f t="shared" ref="D115:D121" si="16">+F115+G115+H115+I115</f>
        <v>3841252.2598970002</v>
      </c>
      <c r="E115" s="199"/>
      <c r="F115" s="199">
        <f>+F116+F117</f>
        <v>0</v>
      </c>
      <c r="G115" s="200">
        <f>+G116+G117+G120</f>
        <v>2359441.4879370001</v>
      </c>
      <c r="H115" s="199">
        <f>+H116+H117</f>
        <v>1110290.815073</v>
      </c>
      <c r="I115" s="199">
        <f>+I116+I117</f>
        <v>371519.95688700001</v>
      </c>
      <c r="J115" s="201"/>
      <c r="K115" s="199"/>
      <c r="L115" s="159" t="e">
        <f>D115/"#REF!*100"</f>
        <v>#VALUE!</v>
      </c>
      <c r="M115" s="142">
        <f>+D115+D121</f>
        <v>3847415.88136</v>
      </c>
    </row>
    <row r="116" spans="1:14" ht="18" hidden="1" customHeight="1">
      <c r="A116" s="212" t="s">
        <v>303</v>
      </c>
      <c r="B116" s="211">
        <v>0</v>
      </c>
      <c r="C116" s="211">
        <v>0</v>
      </c>
      <c r="D116" s="201">
        <f t="shared" si="16"/>
        <v>0</v>
      </c>
      <c r="E116" s="201"/>
      <c r="F116" s="201"/>
      <c r="G116" s="208"/>
      <c r="H116" s="213"/>
      <c r="I116" s="201"/>
      <c r="J116" s="201"/>
      <c r="K116" s="201"/>
      <c r="L116" s="169" t="e">
        <f>D116/"#REF!*100"</f>
        <v>#VALUE!</v>
      </c>
    </row>
    <row r="117" spans="1:14" ht="18" hidden="1" customHeight="1">
      <c r="A117" s="212" t="s">
        <v>304</v>
      </c>
      <c r="B117" s="211">
        <f>+B118+B119</f>
        <v>0</v>
      </c>
      <c r="C117" s="211">
        <f>+C118+C119</f>
        <v>0</v>
      </c>
      <c r="D117" s="201">
        <f t="shared" si="16"/>
        <v>3841252.2598970002</v>
      </c>
      <c r="E117" s="201"/>
      <c r="F117" s="201">
        <f>+F118+F119</f>
        <v>0</v>
      </c>
      <c r="G117" s="208">
        <f>+G118+G119</f>
        <v>2359441.4879370001</v>
      </c>
      <c r="H117" s="214">
        <f>+H118+H119</f>
        <v>1110290.815073</v>
      </c>
      <c r="I117" s="214">
        <f>+I118+I119</f>
        <v>371519.95688700001</v>
      </c>
      <c r="J117" s="201"/>
      <c r="K117" s="201"/>
      <c r="L117" s="215" t="e">
        <f>D117/"#REF!*100"</f>
        <v>#VALUE!</v>
      </c>
    </row>
    <row r="118" spans="1:14" ht="18" hidden="1" customHeight="1">
      <c r="A118" s="212" t="s">
        <v>305</v>
      </c>
      <c r="B118" s="211">
        <v>0</v>
      </c>
      <c r="C118" s="211">
        <v>0</v>
      </c>
      <c r="D118" s="201">
        <f t="shared" si="16"/>
        <v>3623885.4719600007</v>
      </c>
      <c r="E118" s="201"/>
      <c r="F118" s="201"/>
      <c r="G118" s="208">
        <f>2006074.7+136000+26176-26176</f>
        <v>2142074.7000000002</v>
      </c>
      <c r="H118" s="213">
        <v>1110290.815073</v>
      </c>
      <c r="I118" s="201">
        <v>371519.95688700001</v>
      </c>
      <c r="J118" s="201"/>
      <c r="K118" s="201"/>
      <c r="L118" s="215" t="e">
        <f>D118/"#REF!*100"</f>
        <v>#VALUE!</v>
      </c>
    </row>
    <row r="119" spans="1:14" ht="18" hidden="1" customHeight="1">
      <c r="A119" s="212" t="s">
        <v>306</v>
      </c>
      <c r="B119" s="211">
        <v>0</v>
      </c>
      <c r="C119" s="211">
        <v>0</v>
      </c>
      <c r="D119" s="201">
        <f t="shared" si="16"/>
        <v>217366.78793699999</v>
      </c>
      <c r="E119" s="201"/>
      <c r="F119" s="201"/>
      <c r="G119" s="214">
        <v>217366.78793699999</v>
      </c>
      <c r="H119" s="201"/>
      <c r="I119" s="201"/>
      <c r="J119" s="201"/>
      <c r="K119" s="201"/>
      <c r="L119" s="215" t="e">
        <f>D119/"#REF!*100"</f>
        <v>#VALUE!</v>
      </c>
      <c r="M119" s="139">
        <v>46547</v>
      </c>
      <c r="N119" s="142">
        <v>170729.78793699999</v>
      </c>
    </row>
    <row r="120" spans="1:14" s="221" customFormat="1" ht="30" hidden="1">
      <c r="A120" s="216" t="s">
        <v>307</v>
      </c>
      <c r="B120" s="217"/>
      <c r="C120" s="217"/>
      <c r="D120" s="218">
        <f t="shared" si="16"/>
        <v>0</v>
      </c>
      <c r="E120" s="218"/>
      <c r="F120" s="218"/>
      <c r="G120" s="219"/>
      <c r="H120" s="218"/>
      <c r="I120" s="218"/>
      <c r="J120" s="201"/>
      <c r="K120" s="218"/>
      <c r="L120" s="220"/>
      <c r="N120" s="222"/>
    </row>
    <row r="121" spans="1:14" s="162" customFormat="1" ht="18" hidden="1" customHeight="1">
      <c r="A121" s="223" t="s">
        <v>308</v>
      </c>
      <c r="B121" s="224">
        <v>0</v>
      </c>
      <c r="C121" s="224">
        <v>0</v>
      </c>
      <c r="D121" s="199">
        <f t="shared" si="16"/>
        <v>6163.6214630000004</v>
      </c>
      <c r="E121" s="199"/>
      <c r="F121" s="199"/>
      <c r="G121" s="200">
        <v>6163.6214630000004</v>
      </c>
      <c r="H121" s="199"/>
      <c r="I121" s="199">
        <v>0</v>
      </c>
      <c r="J121" s="201"/>
      <c r="K121" s="199"/>
      <c r="L121" s="225" t="e">
        <f>D121/"#REF!*100"</f>
        <v>#VALUE!</v>
      </c>
    </row>
    <row r="122" spans="1:14" ht="18" hidden="1" customHeight="1">
      <c r="A122" s="226" t="s">
        <v>309</v>
      </c>
      <c r="B122" s="199">
        <f>B10</f>
        <v>4237000</v>
      </c>
      <c r="C122" s="199">
        <f t="shared" ref="C122:I122" si="17">C11+C105+C115+C121</f>
        <v>4237000</v>
      </c>
      <c r="D122" s="199">
        <f t="shared" si="17"/>
        <v>8045228.2704019994</v>
      </c>
      <c r="E122" s="199"/>
      <c r="F122" s="199">
        <f t="shared" si="17"/>
        <v>320621.280585</v>
      </c>
      <c r="G122" s="200">
        <f t="shared" si="17"/>
        <v>5544679.0267230002</v>
      </c>
      <c r="H122" s="199">
        <f t="shared" si="17"/>
        <v>1711301.607332</v>
      </c>
      <c r="I122" s="199">
        <f t="shared" si="17"/>
        <v>468626.35576200002</v>
      </c>
      <c r="J122" s="201"/>
      <c r="K122" s="199">
        <f>+G122/C122*100</f>
        <v>130.8633237366769</v>
      </c>
      <c r="L122" s="215"/>
    </row>
    <row r="123" spans="1:14" ht="17.100000000000001" hidden="1" customHeight="1">
      <c r="A123" s="227" t="s">
        <v>310</v>
      </c>
      <c r="B123" s="228"/>
      <c r="C123" s="228"/>
      <c r="D123" s="199">
        <f>F123+G123+H123+I123</f>
        <v>0</v>
      </c>
      <c r="E123" s="199"/>
      <c r="F123" s="229"/>
      <c r="G123" s="230"/>
      <c r="H123" s="230"/>
      <c r="I123" s="230"/>
      <c r="J123" s="201"/>
      <c r="K123" s="231"/>
      <c r="L123" s="215"/>
    </row>
    <row r="124" spans="1:14" ht="17.100000000000001" customHeight="1">
      <c r="A124" s="232"/>
      <c r="B124" s="233"/>
      <c r="C124" s="233"/>
      <c r="D124" s="233"/>
      <c r="E124" s="233"/>
      <c r="F124" s="234"/>
      <c r="G124" s="235"/>
      <c r="H124" s="235"/>
      <c r="I124" s="235"/>
      <c r="J124" s="225"/>
      <c r="K124" s="215"/>
      <c r="L124" s="215"/>
    </row>
    <row r="125" spans="1:14" ht="17.100000000000001" customHeight="1">
      <c r="A125" s="236"/>
      <c r="B125" s="233"/>
      <c r="C125" s="995"/>
      <c r="D125" s="995"/>
      <c r="E125" s="995"/>
      <c r="F125" s="995"/>
      <c r="G125" s="995"/>
      <c r="H125" s="235"/>
      <c r="I125" s="237"/>
      <c r="J125" s="225"/>
      <c r="K125" s="215"/>
      <c r="L125" s="215"/>
    </row>
    <row r="126" spans="1:14" ht="17.100000000000001" customHeight="1">
      <c r="A126" s="238"/>
      <c r="B126" s="233"/>
      <c r="C126" s="233"/>
      <c r="D126" s="239"/>
      <c r="E126" s="239"/>
      <c r="F126" s="239"/>
      <c r="G126" s="239"/>
      <c r="H126" s="235"/>
      <c r="I126" s="240"/>
      <c r="J126" s="225"/>
      <c r="K126" s="215"/>
      <c r="L126" s="215"/>
    </row>
    <row r="127" spans="1:14" ht="17.100000000000001" hidden="1" customHeight="1">
      <c r="A127" s="232"/>
      <c r="B127" s="233"/>
      <c r="C127" s="233"/>
      <c r="D127" s="233"/>
      <c r="E127" s="233"/>
      <c r="F127" s="234"/>
      <c r="G127" s="235"/>
      <c r="H127" s="235"/>
      <c r="I127" s="241"/>
      <c r="J127" s="225"/>
      <c r="K127" s="215"/>
      <c r="L127" s="215"/>
    </row>
    <row r="128" spans="1:14" ht="17.100000000000001" hidden="1" customHeight="1">
      <c r="A128" s="232"/>
      <c r="B128" s="233"/>
      <c r="C128" s="233"/>
      <c r="D128" s="233">
        <v>14244945.773980999</v>
      </c>
      <c r="E128" s="233"/>
      <c r="F128" s="234"/>
      <c r="G128" s="235"/>
      <c r="H128" s="235"/>
      <c r="I128" s="235"/>
      <c r="J128" s="225"/>
      <c r="K128" s="215"/>
      <c r="L128" s="215"/>
    </row>
    <row r="129" spans="1:13" ht="17.100000000000001" hidden="1" customHeight="1">
      <c r="A129" s="232"/>
      <c r="B129" s="233"/>
      <c r="C129" s="233"/>
      <c r="D129" s="233">
        <f>D10-D128</f>
        <v>390160.00000000186</v>
      </c>
      <c r="E129" s="233"/>
      <c r="F129" s="234"/>
      <c r="G129" s="235"/>
      <c r="H129" s="235"/>
      <c r="I129" s="235"/>
      <c r="J129" s="225"/>
      <c r="K129" s="215"/>
      <c r="L129" s="215"/>
    </row>
    <row r="130" spans="1:13" ht="17.100000000000001" hidden="1" customHeight="1">
      <c r="A130" s="232"/>
      <c r="B130" s="233"/>
      <c r="C130" s="233"/>
      <c r="D130" s="562">
        <v>14308355.773980999</v>
      </c>
      <c r="E130" s="562"/>
      <c r="F130" s="234"/>
      <c r="G130" s="235">
        <f>G10</f>
        <v>8894132.6147980001</v>
      </c>
      <c r="H130" s="235"/>
      <c r="I130" s="235"/>
      <c r="J130" s="225"/>
      <c r="K130" s="215"/>
      <c r="L130" s="215"/>
    </row>
    <row r="131" spans="1:13" hidden="1">
      <c r="A131" s="242"/>
      <c r="B131" s="242"/>
      <c r="D131" s="242">
        <f>D130-D128</f>
        <v>63410</v>
      </c>
      <c r="E131" s="242"/>
      <c r="G131" s="138">
        <v>8594347.6147980001</v>
      </c>
      <c r="H131" s="242"/>
      <c r="I131" s="242"/>
      <c r="J131" s="242"/>
    </row>
    <row r="132" spans="1:13" hidden="1">
      <c r="A132" s="243"/>
      <c r="B132" s="244"/>
      <c r="D132" s="245"/>
      <c r="E132" s="245"/>
      <c r="F132" s="246"/>
      <c r="G132" s="244">
        <f>+G130-D129</f>
        <v>8503972.6147979982</v>
      </c>
      <c r="H132" s="243"/>
      <c r="I132" s="245"/>
      <c r="J132" s="244"/>
      <c r="K132" s="247"/>
      <c r="L132" s="247"/>
    </row>
    <row r="133" spans="1:13" hidden="1">
      <c r="G133" s="559">
        <f>+G131-G132</f>
        <v>90375.000000001863</v>
      </c>
      <c r="H133" s="245">
        <v>63410</v>
      </c>
      <c r="I133" s="243"/>
    </row>
    <row r="134" spans="1:13" hidden="1">
      <c r="A134" s="119"/>
      <c r="D134" s="119"/>
      <c r="E134" s="119"/>
      <c r="H134" s="138">
        <f>+G133-H133</f>
        <v>26965.000000001863</v>
      </c>
    </row>
    <row r="135" spans="1:13" hidden="1">
      <c r="A135" s="248">
        <v>14167029008394</v>
      </c>
      <c r="D135" s="119"/>
      <c r="E135" s="119"/>
      <c r="M135" s="139">
        <v>14123853.669837</v>
      </c>
    </row>
    <row r="136" spans="1:13" hidden="1">
      <c r="A136" s="248">
        <v>13067238513595</v>
      </c>
      <c r="D136" s="119"/>
      <c r="E136" s="119"/>
      <c r="G136" s="138">
        <f>+G10</f>
        <v>8894132.6147980001</v>
      </c>
      <c r="M136" s="142">
        <f>+D10</f>
        <v>14635105.773981001</v>
      </c>
    </row>
    <row r="137" spans="1:13" hidden="1">
      <c r="A137" s="119"/>
      <c r="G137" s="138">
        <v>8368559.7895010002</v>
      </c>
      <c r="H137" s="138">
        <v>4426697.8240090003</v>
      </c>
      <c r="M137" s="142">
        <f>+M135-M136</f>
        <v>-511252.10414400138</v>
      </c>
    </row>
    <row r="138" spans="1:13" hidden="1">
      <c r="A138" s="119"/>
      <c r="G138" s="138">
        <f>+G137-G136</f>
        <v>-525572.82529699989</v>
      </c>
      <c r="H138" s="138">
        <f>+H10-H137</f>
        <v>-38699.220846999437</v>
      </c>
    </row>
    <row r="139" spans="1:13" hidden="1">
      <c r="A139" s="119"/>
      <c r="G139" s="138">
        <v>193903</v>
      </c>
    </row>
    <row r="140" spans="1:13" hidden="1">
      <c r="G140" s="138">
        <f>+G138-G139</f>
        <v>-719475.82529699989</v>
      </c>
    </row>
    <row r="141" spans="1:13" hidden="1"/>
  </sheetData>
  <sheetProtection selectLockedCells="1" selectUnlockedCells="1"/>
  <mergeCells count="8">
    <mergeCell ref="E1:K1"/>
    <mergeCell ref="C125:G125"/>
    <mergeCell ref="A4:K4"/>
    <mergeCell ref="A5:K5"/>
    <mergeCell ref="E7:K7"/>
    <mergeCell ref="B8:C8"/>
    <mergeCell ref="F8:I8"/>
    <mergeCell ref="J8:K8"/>
  </mergeCells>
  <printOptions horizontalCentered="1"/>
  <pageMargins left="0.19685039370078741" right="0.19685039370078741" top="0.59055118110236227" bottom="0.59055118110236227" header="0" footer="0.23622047244094491"/>
  <pageSetup paperSize="9" firstPageNumber="0" orientation="portrait" r:id="rId1"/>
  <headerFooter differentFirst="1" alignWithMargins="0">
    <oddFooter>&amp;C&amp;"Times New Roman,Regular"&amp;12&amp;P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4"/>
  <sheetViews>
    <sheetView zoomScale="160" zoomScaleNormal="160" workbookViewId="0">
      <selection activeCell="A5" sqref="A5:P5"/>
    </sheetView>
  </sheetViews>
  <sheetFormatPr defaultColWidth="46.7109375" defaultRowHeight="15.75"/>
  <cols>
    <col min="1" max="1" width="5" style="105" customWidth="1"/>
    <col min="2" max="2" width="60.28515625" style="105" customWidth="1"/>
    <col min="3" max="3" width="11.42578125" style="105" hidden="1" customWidth="1"/>
    <col min="4" max="4" width="9" style="129" customWidth="1"/>
    <col min="5" max="5" width="12.140625" style="105" customWidth="1"/>
    <col min="6" max="6" width="13.42578125" style="116" hidden="1" customWidth="1"/>
    <col min="7" max="7" width="11.7109375" style="116" hidden="1" customWidth="1"/>
    <col min="8" max="8" width="18" style="116" hidden="1" customWidth="1"/>
    <col min="9" max="9" width="13" style="105" hidden="1" customWidth="1"/>
    <col min="10" max="10" width="10.7109375" style="105" hidden="1" customWidth="1"/>
    <col min="11" max="11" width="12.42578125" style="116" hidden="1" customWidth="1"/>
    <col min="12" max="12" width="11.28515625" style="105" hidden="1" customWidth="1"/>
    <col min="13" max="13" width="10" style="105" hidden="1" customWidth="1"/>
    <col min="14" max="14" width="11" style="116" hidden="1" customWidth="1"/>
    <col min="15" max="15" width="8.85546875" style="105" hidden="1" customWidth="1"/>
    <col min="16" max="16" width="11" style="105" customWidth="1"/>
    <col min="17" max="17" width="0" style="105" hidden="1" customWidth="1"/>
    <col min="18" max="18" width="17.5703125" style="105" hidden="1" customWidth="1"/>
    <col min="19" max="19" width="12.42578125" style="105" hidden="1" customWidth="1"/>
    <col min="20" max="20" width="16.140625" style="105" hidden="1" customWidth="1"/>
    <col min="21" max="254" width="9.140625" style="105" customWidth="1"/>
    <col min="255" max="255" width="5.42578125" style="105" customWidth="1"/>
    <col min="256" max="16384" width="46.7109375" style="105"/>
  </cols>
  <sheetData>
    <row r="1" spans="1:20" ht="17.100000000000001" customHeight="1">
      <c r="A1" s="711" t="s">
        <v>1595</v>
      </c>
      <c r="E1" s="1004" t="s">
        <v>1597</v>
      </c>
      <c r="F1" s="1004"/>
      <c r="G1" s="1004"/>
      <c r="H1" s="1004"/>
      <c r="I1" s="1004"/>
      <c r="J1" s="1004"/>
      <c r="K1" s="1004"/>
      <c r="L1" s="1004"/>
      <c r="M1" s="1004"/>
      <c r="N1" s="1004"/>
      <c r="O1" s="1004"/>
      <c r="P1" s="1004"/>
    </row>
    <row r="2" spans="1:20" ht="17.100000000000001" customHeight="1">
      <c r="A2" s="711" t="s">
        <v>1360</v>
      </c>
    </row>
    <row r="3" spans="1:20" ht="22.5" customHeight="1">
      <c r="L3" s="107"/>
      <c r="M3" s="107"/>
      <c r="N3" s="249"/>
      <c r="Q3" s="107"/>
    </row>
    <row r="4" spans="1:20" ht="18.75" customHeight="1">
      <c r="A4" s="1005" t="s">
        <v>1333</v>
      </c>
      <c r="B4" s="1005"/>
      <c r="C4" s="1005"/>
      <c r="D4" s="1005"/>
      <c r="E4" s="1005"/>
      <c r="F4" s="1005"/>
      <c r="G4" s="1005"/>
      <c r="H4" s="1005"/>
      <c r="I4" s="1005"/>
      <c r="J4" s="1005"/>
      <c r="K4" s="1005"/>
      <c r="L4" s="1005"/>
      <c r="M4" s="1005"/>
      <c r="N4" s="1005"/>
      <c r="O4" s="1005"/>
      <c r="P4" s="1005"/>
      <c r="Q4" s="250"/>
    </row>
    <row r="5" spans="1:20" ht="18.75" customHeight="1">
      <c r="A5" s="1006" t="s">
        <v>1594</v>
      </c>
      <c r="B5" s="1006"/>
      <c r="C5" s="1006"/>
      <c r="D5" s="1006"/>
      <c r="E5" s="1006"/>
      <c r="F5" s="1006"/>
      <c r="G5" s="1006"/>
      <c r="H5" s="1006"/>
      <c r="I5" s="1006"/>
      <c r="J5" s="1006"/>
      <c r="K5" s="1006"/>
      <c r="L5" s="1006"/>
      <c r="M5" s="1006"/>
      <c r="N5" s="1006"/>
      <c r="O5" s="1006"/>
      <c r="P5" s="1006"/>
      <c r="Q5" s="250"/>
    </row>
    <row r="6" spans="1:20" ht="18.75" customHeight="1">
      <c r="A6" s="638"/>
      <c r="B6" s="638"/>
      <c r="C6" s="638"/>
      <c r="D6" s="638"/>
      <c r="E6" s="638"/>
      <c r="F6" s="638"/>
      <c r="G6" s="638"/>
      <c r="H6" s="638"/>
      <c r="I6" s="638"/>
      <c r="J6" s="638"/>
      <c r="K6" s="638"/>
      <c r="L6" s="638"/>
      <c r="M6" s="638"/>
      <c r="N6" s="638"/>
      <c r="O6" s="638"/>
      <c r="P6" s="638"/>
      <c r="Q6" s="250"/>
    </row>
    <row r="7" spans="1:20" s="116" customFormat="1" ht="21" customHeight="1">
      <c r="B7" s="108"/>
      <c r="C7" s="251"/>
      <c r="D7" s="252"/>
      <c r="E7" s="1007" t="s">
        <v>38</v>
      </c>
      <c r="F7" s="1007"/>
      <c r="G7" s="1007"/>
      <c r="H7" s="1007"/>
      <c r="I7" s="1007"/>
      <c r="J7" s="1007"/>
      <c r="K7" s="1007"/>
      <c r="L7" s="1007"/>
      <c r="M7" s="1007"/>
      <c r="N7" s="1007"/>
      <c r="O7" s="1007"/>
      <c r="P7" s="1007"/>
      <c r="Q7" s="256"/>
    </row>
    <row r="8" spans="1:20" ht="57.75" customHeight="1">
      <c r="A8" s="670" t="s">
        <v>39</v>
      </c>
      <c r="B8" s="668" t="s">
        <v>97</v>
      </c>
      <c r="C8" s="1001" t="s">
        <v>94</v>
      </c>
      <c r="D8" s="1001"/>
      <c r="E8" s="668" t="s">
        <v>1442</v>
      </c>
      <c r="F8" s="668"/>
      <c r="G8" s="668"/>
      <c r="H8" s="668"/>
      <c r="I8" s="668"/>
      <c r="J8" s="668"/>
      <c r="K8" s="668"/>
      <c r="L8" s="668"/>
      <c r="M8" s="668"/>
      <c r="N8" s="668"/>
      <c r="O8" s="668"/>
      <c r="P8" s="668" t="s">
        <v>96</v>
      </c>
      <c r="Q8" s="580"/>
      <c r="R8" s="115">
        <f>+C11+C29</f>
        <v>7716290</v>
      </c>
    </row>
    <row r="9" spans="1:20" ht="20.100000000000001" customHeight="1">
      <c r="A9" s="635" t="s">
        <v>51</v>
      </c>
      <c r="B9" s="598" t="s">
        <v>77</v>
      </c>
      <c r="C9" s="598" t="s">
        <v>103</v>
      </c>
      <c r="D9" s="789">
        <v>1</v>
      </c>
      <c r="E9" s="598" t="s">
        <v>104</v>
      </c>
      <c r="F9" s="598" t="s">
        <v>325</v>
      </c>
      <c r="G9" s="598"/>
      <c r="H9" s="598"/>
      <c r="I9" s="598" t="s">
        <v>326</v>
      </c>
      <c r="J9" s="598" t="s">
        <v>327</v>
      </c>
      <c r="K9" s="598" t="s">
        <v>328</v>
      </c>
      <c r="L9" s="598" t="s">
        <v>329</v>
      </c>
      <c r="M9" s="598" t="s">
        <v>330</v>
      </c>
      <c r="N9" s="598" t="s">
        <v>328</v>
      </c>
      <c r="O9" s="598" t="s">
        <v>331</v>
      </c>
      <c r="P9" s="598" t="s">
        <v>1337</v>
      </c>
      <c r="Q9" s="721"/>
      <c r="R9" s="106">
        <f>+N13+K13</f>
        <v>93459.366070999997</v>
      </c>
      <c r="T9" s="106"/>
    </row>
    <row r="10" spans="1:20" ht="20.100000000000001" customHeight="1">
      <c r="A10" s="790"/>
      <c r="B10" s="742" t="s">
        <v>1336</v>
      </c>
      <c r="C10" s="791"/>
      <c r="D10" s="792">
        <f>D11+D85+D102</f>
        <v>7966290</v>
      </c>
      <c r="E10" s="737">
        <f t="shared" ref="E10:L10" si="0">E11+E85+E102</f>
        <v>9613425.506174</v>
      </c>
      <c r="F10" s="737">
        <f t="shared" si="0"/>
        <v>5202973.1866060002</v>
      </c>
      <c r="G10" s="737">
        <f t="shared" si="0"/>
        <v>12289.712349000001</v>
      </c>
      <c r="H10" s="737">
        <f t="shared" si="0"/>
        <v>723040.85893299989</v>
      </c>
      <c r="I10" s="737">
        <f t="shared" si="0"/>
        <v>3436155.0483449996</v>
      </c>
      <c r="J10" s="737">
        <f t="shared" si="0"/>
        <v>6184.9527999999991</v>
      </c>
      <c r="K10" s="737">
        <f t="shared" si="0"/>
        <v>12587.647931</v>
      </c>
      <c r="L10" s="737">
        <f t="shared" si="0"/>
        <v>974297.2712229999</v>
      </c>
      <c r="M10" s="791"/>
      <c r="N10" s="791"/>
      <c r="O10" s="791"/>
      <c r="P10" s="793">
        <f>E10/D10*100</f>
        <v>120.67631866494943</v>
      </c>
      <c r="Q10" s="722"/>
      <c r="R10" s="106"/>
      <c r="T10" s="106"/>
    </row>
    <row r="11" spans="1:20" ht="20.100000000000001" customHeight="1">
      <c r="A11" s="794" t="s">
        <v>51</v>
      </c>
      <c r="B11" s="795" t="s">
        <v>1335</v>
      </c>
      <c r="C11" s="796">
        <f>+C12+C38+C79+C80+C85</f>
        <v>7490070</v>
      </c>
      <c r="D11" s="792">
        <f>+D12+D38+D79+D80+D81+D29</f>
        <v>7333828</v>
      </c>
      <c r="E11" s="793">
        <f>+F11+I11+L11</f>
        <v>7692770.0818130001</v>
      </c>
      <c r="F11" s="608">
        <f>+F12+F29+F38+F79+F81+F82</f>
        <v>3599211.2894989997</v>
      </c>
      <c r="G11" s="608"/>
      <c r="H11" s="608"/>
      <c r="I11" s="608">
        <f>+I12+I29+I38+I79+I81+I82</f>
        <v>3248869.8863339997</v>
      </c>
      <c r="J11" s="608"/>
      <c r="K11" s="608"/>
      <c r="L11" s="608">
        <f>+L12+L29+L38+L79+L81+L82</f>
        <v>844688.90597999992</v>
      </c>
      <c r="M11" s="793"/>
      <c r="N11" s="608"/>
      <c r="O11" s="793">
        <f>E11/C11*100</f>
        <v>102.70625083361038</v>
      </c>
      <c r="P11" s="793">
        <f>E11/D11*100</f>
        <v>104.89433460687924</v>
      </c>
      <c r="Q11" s="723" t="e">
        <f>+E11/"#REF!*100"</f>
        <v>#VALUE!</v>
      </c>
      <c r="R11" s="106">
        <f>+F11</f>
        <v>3599211.2894989997</v>
      </c>
      <c r="T11" s="106"/>
    </row>
    <row r="12" spans="1:20" ht="20.100000000000001" customHeight="1">
      <c r="A12" s="794" t="s">
        <v>108</v>
      </c>
      <c r="B12" s="795" t="s">
        <v>54</v>
      </c>
      <c r="C12" s="797">
        <v>1216570</v>
      </c>
      <c r="D12" s="792">
        <v>1459770</v>
      </c>
      <c r="E12" s="608">
        <f>+F12+I12+L12</f>
        <v>1634663.0631699997</v>
      </c>
      <c r="F12" s="608">
        <f>+F13+F27+F28</f>
        <v>1218591.318548</v>
      </c>
      <c r="G12" s="608"/>
      <c r="H12" s="608"/>
      <c r="I12" s="608">
        <f>+I13+I27+I28</f>
        <v>308519.25172899995</v>
      </c>
      <c r="J12" s="793"/>
      <c r="K12" s="608"/>
      <c r="L12" s="608">
        <f>+L13+L27+L28</f>
        <v>107552.492893</v>
      </c>
      <c r="M12" s="793"/>
      <c r="N12" s="608"/>
      <c r="O12" s="793">
        <f>E12/C12*100</f>
        <v>134.36654390376219</v>
      </c>
      <c r="P12" s="793">
        <f>E12/D12*100</f>
        <v>111.98086432588694</v>
      </c>
      <c r="Q12" s="724" t="e">
        <f>+E12/"#REF!*100"</f>
        <v>#VALUE!</v>
      </c>
      <c r="R12" s="106">
        <f>+R11-F81</f>
        <v>3599211.2894989997</v>
      </c>
    </row>
    <row r="13" spans="1:20" ht="20.100000000000001" customHeight="1">
      <c r="A13" s="794">
        <v>1</v>
      </c>
      <c r="B13" s="795" t="s">
        <v>1443</v>
      </c>
      <c r="C13" s="798">
        <v>0</v>
      </c>
      <c r="D13" s="798">
        <v>0</v>
      </c>
      <c r="E13" s="793">
        <f>F13+I13+L13</f>
        <v>1602663.0631699997</v>
      </c>
      <c r="F13" s="608">
        <f>+F14+F15+F16+F17+F18+F19+F20+F21+F22+F23+F24+F25+F26</f>
        <v>1186591.318548</v>
      </c>
      <c r="G13" s="608"/>
      <c r="H13" s="608">
        <f>+H14+H15+H16+H17+H18+H19+H20+H21+H22+H23+H24+H25+H26</f>
        <v>723040.85893300013</v>
      </c>
      <c r="I13" s="608">
        <f>+I14+I15+I16+I17+I18+I19+I20+I21+I22+I23+I24+I25+I26</f>
        <v>308519.25172899995</v>
      </c>
      <c r="J13" s="793"/>
      <c r="K13" s="608">
        <f>+SUM(K14:K26)</f>
        <v>12587.647931</v>
      </c>
      <c r="L13" s="608">
        <f>+L14+L15+L16+L17+L18+L19+L20+L21+L22+L23+L24+L25+L26</f>
        <v>107552.492893</v>
      </c>
      <c r="M13" s="608">
        <f>+M14+M15+M16+M17+M18+M19+M20+M21+M22+M23+M24+M25+M26</f>
        <v>0</v>
      </c>
      <c r="N13" s="608">
        <f>+N14+N15+N16+N17+N18+N19+N20+N21+N22+N23+N24+N25+N26</f>
        <v>80871.718139999997</v>
      </c>
      <c r="O13" s="798">
        <v>0</v>
      </c>
      <c r="P13" s="798">
        <v>0</v>
      </c>
      <c r="Q13" s="724"/>
      <c r="R13" s="106">
        <v>7740070</v>
      </c>
    </row>
    <row r="14" spans="1:20" ht="20.100000000000001" customHeight="1">
      <c r="A14" s="799" t="s">
        <v>334</v>
      </c>
      <c r="B14" s="800" t="s">
        <v>335</v>
      </c>
      <c r="C14" s="798">
        <v>0</v>
      </c>
      <c r="D14" s="798">
        <v>0</v>
      </c>
      <c r="E14" s="615">
        <f>+F14+I14+L14</f>
        <v>39739.648000000001</v>
      </c>
      <c r="F14" s="615">
        <v>39739.648000000001</v>
      </c>
      <c r="G14" s="615"/>
      <c r="H14" s="615"/>
      <c r="I14" s="798">
        <v>0</v>
      </c>
      <c r="J14" s="634"/>
      <c r="K14" s="615"/>
      <c r="L14" s="798">
        <v>0</v>
      </c>
      <c r="M14" s="634"/>
      <c r="N14" s="615"/>
      <c r="O14" s="798">
        <v>0</v>
      </c>
      <c r="P14" s="798">
        <v>0</v>
      </c>
      <c r="Q14" s="725"/>
      <c r="R14" s="106">
        <v>1805936.8265879999</v>
      </c>
    </row>
    <row r="15" spans="1:20" ht="20.100000000000001" customHeight="1">
      <c r="A15" s="799" t="s">
        <v>336</v>
      </c>
      <c r="B15" s="800" t="s">
        <v>337</v>
      </c>
      <c r="C15" s="798">
        <v>0</v>
      </c>
      <c r="D15" s="798">
        <v>0</v>
      </c>
      <c r="E15" s="615">
        <f t="shared" ref="E15:E26" si="1">+F15+I15+L15</f>
        <v>19715.274890000001</v>
      </c>
      <c r="F15" s="615">
        <v>19715.274890000001</v>
      </c>
      <c r="G15" s="615"/>
      <c r="H15" s="615"/>
      <c r="I15" s="798">
        <v>0</v>
      </c>
      <c r="J15" s="634"/>
      <c r="K15" s="615"/>
      <c r="L15" s="798">
        <v>0</v>
      </c>
      <c r="M15" s="634"/>
      <c r="N15" s="615"/>
      <c r="O15" s="798">
        <v>0</v>
      </c>
      <c r="P15" s="798">
        <v>0</v>
      </c>
      <c r="Q15" s="725"/>
      <c r="R15" s="106">
        <f>+R14-F13</f>
        <v>619345.50803999999</v>
      </c>
    </row>
    <row r="16" spans="1:20" ht="20.100000000000001" customHeight="1">
      <c r="A16" s="799" t="s">
        <v>338</v>
      </c>
      <c r="B16" s="800" t="s">
        <v>339</v>
      </c>
      <c r="C16" s="798">
        <v>0</v>
      </c>
      <c r="D16" s="798">
        <v>0</v>
      </c>
      <c r="E16" s="615">
        <f t="shared" si="1"/>
        <v>197179.29119999998</v>
      </c>
      <c r="F16" s="615">
        <f>71790.316955-H16</f>
        <v>63750.909599999999</v>
      </c>
      <c r="G16" s="615"/>
      <c r="H16" s="615">
        <v>8039.4073550000003</v>
      </c>
      <c r="I16" s="634">
        <f>133803.5196-K16</f>
        <v>133428.38159999999</v>
      </c>
      <c r="J16" s="634"/>
      <c r="K16" s="615">
        <v>375.13799999999998</v>
      </c>
      <c r="L16" s="798">
        <v>0</v>
      </c>
      <c r="M16" s="634"/>
      <c r="N16" s="615"/>
      <c r="O16" s="798">
        <v>0</v>
      </c>
      <c r="P16" s="798">
        <v>0</v>
      </c>
      <c r="Q16" s="725"/>
      <c r="R16" s="106"/>
    </row>
    <row r="17" spans="1:20" ht="20.100000000000001" customHeight="1">
      <c r="A17" s="799" t="s">
        <v>340</v>
      </c>
      <c r="B17" s="800" t="s">
        <v>341</v>
      </c>
      <c r="C17" s="798">
        <v>0</v>
      </c>
      <c r="D17" s="798">
        <v>0</v>
      </c>
      <c r="E17" s="615">
        <f t="shared" si="1"/>
        <v>754.53200000000004</v>
      </c>
      <c r="F17" s="615">
        <v>754.53200000000004</v>
      </c>
      <c r="G17" s="615"/>
      <c r="H17" s="615"/>
      <c r="I17" s="798">
        <v>0</v>
      </c>
      <c r="J17" s="634"/>
      <c r="K17" s="615"/>
      <c r="L17" s="798">
        <v>0</v>
      </c>
      <c r="M17" s="634"/>
      <c r="N17" s="615"/>
      <c r="O17" s="798">
        <v>0</v>
      </c>
      <c r="P17" s="798">
        <v>0</v>
      </c>
      <c r="Q17" s="725"/>
      <c r="R17" s="106">
        <f>E11+I102+L102</f>
        <v>7900559.0071900003</v>
      </c>
    </row>
    <row r="18" spans="1:20" ht="20.100000000000001" customHeight="1">
      <c r="A18" s="799" t="s">
        <v>342</v>
      </c>
      <c r="B18" s="800" t="s">
        <v>343</v>
      </c>
      <c r="C18" s="798">
        <v>0</v>
      </c>
      <c r="D18" s="798">
        <v>0</v>
      </c>
      <c r="E18" s="615">
        <f t="shared" si="1"/>
        <v>225791.24131300001</v>
      </c>
      <c r="F18" s="615">
        <f>261878.307813-H18</f>
        <v>225769.16231300001</v>
      </c>
      <c r="G18" s="615"/>
      <c r="H18" s="615">
        <f>30100.5115+6008.634</f>
        <v>36109.145499999999</v>
      </c>
      <c r="I18" s="634">
        <v>22.079000000000001</v>
      </c>
      <c r="J18" s="634"/>
      <c r="K18" s="615"/>
      <c r="L18" s="798">
        <v>0</v>
      </c>
      <c r="M18" s="634"/>
      <c r="N18" s="615"/>
      <c r="O18" s="798">
        <v>0</v>
      </c>
      <c r="P18" s="798">
        <v>0</v>
      </c>
      <c r="Q18" s="725"/>
      <c r="R18" s="106"/>
    </row>
    <row r="19" spans="1:20" ht="20.100000000000001" customHeight="1">
      <c r="A19" s="799" t="s">
        <v>344</v>
      </c>
      <c r="B19" s="800" t="s">
        <v>345</v>
      </c>
      <c r="C19" s="798">
        <v>0</v>
      </c>
      <c r="D19" s="798">
        <v>0</v>
      </c>
      <c r="E19" s="615">
        <f t="shared" si="1"/>
        <v>34157.590332</v>
      </c>
      <c r="F19" s="615">
        <v>27887.705625999999</v>
      </c>
      <c r="G19" s="615"/>
      <c r="H19" s="615"/>
      <c r="I19" s="634">
        <f>6618.941706-K19</f>
        <v>6269.8847059999998</v>
      </c>
      <c r="J19" s="634"/>
      <c r="K19" s="615">
        <f>100+249.057</f>
        <v>349.05700000000002</v>
      </c>
      <c r="L19" s="798">
        <f>22.998778-N19</f>
        <v>0</v>
      </c>
      <c r="M19" s="634"/>
      <c r="N19" s="615">
        <v>22.998778000000001</v>
      </c>
      <c r="O19" s="798">
        <v>0</v>
      </c>
      <c r="P19" s="798">
        <v>0</v>
      </c>
      <c r="Q19" s="725"/>
      <c r="R19" s="106">
        <f>+N13+K13+J38+M38</f>
        <v>109104.60187699999</v>
      </c>
    </row>
    <row r="20" spans="1:20" ht="20.100000000000001" customHeight="1">
      <c r="A20" s="799" t="s">
        <v>346</v>
      </c>
      <c r="B20" s="800" t="s">
        <v>347</v>
      </c>
      <c r="C20" s="798">
        <v>0</v>
      </c>
      <c r="D20" s="798">
        <v>0</v>
      </c>
      <c r="E20" s="615">
        <f t="shared" si="1"/>
        <v>590.72799999999995</v>
      </c>
      <c r="F20" s="615">
        <v>590.72799999999995</v>
      </c>
      <c r="G20" s="615"/>
      <c r="H20" s="615"/>
      <c r="I20" s="798">
        <v>0</v>
      </c>
      <c r="J20" s="634"/>
      <c r="K20" s="615"/>
      <c r="L20" s="798">
        <v>0</v>
      </c>
      <c r="M20" s="634"/>
      <c r="N20" s="615"/>
      <c r="O20" s="798">
        <v>0</v>
      </c>
      <c r="P20" s="798">
        <v>0</v>
      </c>
      <c r="Q20" s="725"/>
      <c r="R20" s="106">
        <v>109104.601677</v>
      </c>
    </row>
    <row r="21" spans="1:20" ht="20.100000000000001" customHeight="1">
      <c r="A21" s="799" t="s">
        <v>348</v>
      </c>
      <c r="B21" s="800" t="s">
        <v>349</v>
      </c>
      <c r="C21" s="798">
        <v>0</v>
      </c>
      <c r="D21" s="798">
        <v>0</v>
      </c>
      <c r="E21" s="615">
        <f t="shared" si="1"/>
        <v>1094.421</v>
      </c>
      <c r="F21" s="798">
        <v>0</v>
      </c>
      <c r="G21" s="615"/>
      <c r="H21" s="615"/>
      <c r="I21" s="634">
        <v>1094.421</v>
      </c>
      <c r="J21" s="634"/>
      <c r="K21" s="615"/>
      <c r="L21" s="798">
        <v>0</v>
      </c>
      <c r="M21" s="634"/>
      <c r="N21" s="615"/>
      <c r="O21" s="798">
        <v>0</v>
      </c>
      <c r="P21" s="798">
        <v>0</v>
      </c>
      <c r="Q21" s="725"/>
      <c r="R21" s="297">
        <f>+R20-R19</f>
        <v>-1.9999999494757503E-4</v>
      </c>
    </row>
    <row r="22" spans="1:20" ht="20.100000000000001" customHeight="1">
      <c r="A22" s="799" t="s">
        <v>350</v>
      </c>
      <c r="B22" s="800" t="s">
        <v>351</v>
      </c>
      <c r="C22" s="798">
        <v>0</v>
      </c>
      <c r="D22" s="798">
        <v>0</v>
      </c>
      <c r="E22" s="615">
        <f t="shared" si="1"/>
        <v>1102.1440000000002</v>
      </c>
      <c r="F22" s="615">
        <f>5662.144-H22</f>
        <v>1102.1440000000002</v>
      </c>
      <c r="G22" s="615"/>
      <c r="H22" s="615">
        <f>1346+3214</f>
        <v>4560</v>
      </c>
      <c r="I22" s="798">
        <v>0</v>
      </c>
      <c r="J22" s="634"/>
      <c r="K22" s="615"/>
      <c r="L22" s="798">
        <v>0</v>
      </c>
      <c r="M22" s="634"/>
      <c r="N22" s="615"/>
      <c r="O22" s="798">
        <v>0</v>
      </c>
      <c r="P22" s="798">
        <v>0</v>
      </c>
      <c r="Q22" s="725"/>
      <c r="R22" s="106">
        <v>1132.3430000000001</v>
      </c>
    </row>
    <row r="23" spans="1:20" ht="20.100000000000001" customHeight="1">
      <c r="A23" s="799" t="s">
        <v>352</v>
      </c>
      <c r="B23" s="800" t="s">
        <v>353</v>
      </c>
      <c r="C23" s="798">
        <v>0</v>
      </c>
      <c r="D23" s="798">
        <v>0</v>
      </c>
      <c r="E23" s="615">
        <f t="shared" si="1"/>
        <v>763597.30386899994</v>
      </c>
      <c r="F23" s="615">
        <f>718959.347186-H23</f>
        <v>513250.28353599994</v>
      </c>
      <c r="G23" s="615"/>
      <c r="H23" s="615">
        <f>43311.022858+162398.040792</f>
        <v>205709.06365000003</v>
      </c>
      <c r="I23" s="634">
        <f>171618.932371-K23</f>
        <v>159755.47944</v>
      </c>
      <c r="J23" s="634"/>
      <c r="K23" s="615">
        <f>145.528+7706.080931+600+1379.086+2032.758</f>
        <v>11863.452931</v>
      </c>
      <c r="L23" s="634">
        <f>166169.401255-N23</f>
        <v>90591.540892999998</v>
      </c>
      <c r="M23" s="634"/>
      <c r="N23" s="615">
        <f>35+16034.737779+200+1052.884+58255.238583</f>
        <v>75577.860362000007</v>
      </c>
      <c r="O23" s="798">
        <v>0</v>
      </c>
      <c r="P23" s="798">
        <v>0</v>
      </c>
      <c r="Q23" s="725"/>
      <c r="R23" s="106"/>
    </row>
    <row r="24" spans="1:20" ht="20.100000000000001" customHeight="1">
      <c r="A24" s="799" t="s">
        <v>354</v>
      </c>
      <c r="B24" s="800" t="s">
        <v>355</v>
      </c>
      <c r="C24" s="798">
        <v>0</v>
      </c>
      <c r="D24" s="798">
        <v>0</v>
      </c>
      <c r="E24" s="615">
        <f t="shared" si="1"/>
        <v>240071.66548199995</v>
      </c>
      <c r="F24" s="615">
        <f>683784.949927-H24</f>
        <v>215161.70749899995</v>
      </c>
      <c r="G24" s="615"/>
      <c r="H24" s="615">
        <f>451689.116127+16934.126301</f>
        <v>468623.24242800003</v>
      </c>
      <c r="I24" s="634">
        <v>7949.005983</v>
      </c>
      <c r="J24" s="634"/>
      <c r="K24" s="615"/>
      <c r="L24" s="634">
        <f>22231.811-N24</f>
        <v>16960.952000000001</v>
      </c>
      <c r="M24" s="634"/>
      <c r="N24" s="615">
        <v>5270.8590000000004</v>
      </c>
      <c r="O24" s="798">
        <v>0</v>
      </c>
      <c r="P24" s="798">
        <v>0</v>
      </c>
      <c r="Q24" s="725"/>
      <c r="R24" s="106"/>
    </row>
    <row r="25" spans="1:20" ht="20.100000000000001" customHeight="1">
      <c r="A25" s="799" t="s">
        <v>356</v>
      </c>
      <c r="B25" s="800" t="s">
        <v>357</v>
      </c>
      <c r="C25" s="798">
        <v>0</v>
      </c>
      <c r="D25" s="798">
        <v>0</v>
      </c>
      <c r="E25" s="615">
        <f t="shared" si="1"/>
        <v>24438.359499999999</v>
      </c>
      <c r="F25" s="615">
        <v>24438.359499999999</v>
      </c>
      <c r="G25" s="615"/>
      <c r="H25" s="615"/>
      <c r="I25" s="798">
        <v>0</v>
      </c>
      <c r="J25" s="798"/>
      <c r="K25" s="798"/>
      <c r="L25" s="798">
        <v>0</v>
      </c>
      <c r="M25" s="634"/>
      <c r="N25" s="615"/>
      <c r="O25" s="798">
        <v>0</v>
      </c>
      <c r="P25" s="798">
        <v>0</v>
      </c>
      <c r="Q25" s="725"/>
      <c r="R25" s="106"/>
    </row>
    <row r="26" spans="1:20" ht="20.100000000000001" customHeight="1">
      <c r="A26" s="799" t="s">
        <v>358</v>
      </c>
      <c r="B26" s="800" t="s">
        <v>359</v>
      </c>
      <c r="C26" s="798">
        <v>0</v>
      </c>
      <c r="D26" s="798">
        <v>0</v>
      </c>
      <c r="E26" s="615">
        <f t="shared" si="1"/>
        <v>54430.863583999999</v>
      </c>
      <c r="F26" s="615">
        <v>54430.863583999999</v>
      </c>
      <c r="G26" s="615"/>
      <c r="H26" s="615"/>
      <c r="I26" s="798">
        <v>0</v>
      </c>
      <c r="J26" s="798"/>
      <c r="K26" s="798"/>
      <c r="L26" s="798">
        <v>0</v>
      </c>
      <c r="M26" s="634"/>
      <c r="N26" s="615"/>
      <c r="O26" s="798">
        <v>0</v>
      </c>
      <c r="P26" s="798">
        <v>0</v>
      </c>
      <c r="Q26" s="725"/>
      <c r="R26" s="106">
        <v>226130.12599999999</v>
      </c>
      <c r="S26" s="106">
        <f>+F29-R26</f>
        <v>1132.3429999999935</v>
      </c>
    </row>
    <row r="27" spans="1:20" ht="26.25" customHeight="1">
      <c r="A27" s="794">
        <v>2</v>
      </c>
      <c r="B27" s="795" t="s">
        <v>360</v>
      </c>
      <c r="C27" s="798">
        <v>0</v>
      </c>
      <c r="D27" s="798">
        <v>0</v>
      </c>
      <c r="E27" s="793">
        <f>F27+I27+L27</f>
        <v>32000</v>
      </c>
      <c r="F27" s="608">
        <v>32000</v>
      </c>
      <c r="G27" s="608"/>
      <c r="H27" s="608"/>
      <c r="I27" s="798">
        <v>0</v>
      </c>
      <c r="J27" s="798"/>
      <c r="K27" s="798"/>
      <c r="L27" s="798">
        <v>0</v>
      </c>
      <c r="M27" s="793"/>
      <c r="N27" s="608"/>
      <c r="O27" s="798">
        <v>0</v>
      </c>
      <c r="P27" s="798">
        <v>0</v>
      </c>
      <c r="Q27" s="724"/>
      <c r="R27" s="106">
        <f>+R13-D11</f>
        <v>406242</v>
      </c>
    </row>
    <row r="28" spans="1:20" ht="20.100000000000001" customHeight="1">
      <c r="A28" s="794">
        <v>3</v>
      </c>
      <c r="B28" s="795" t="s">
        <v>361</v>
      </c>
      <c r="C28" s="798">
        <v>0</v>
      </c>
      <c r="D28" s="798">
        <v>0</v>
      </c>
      <c r="E28" s="798">
        <f>F28+I28+L28</f>
        <v>0</v>
      </c>
      <c r="F28" s="798">
        <v>0</v>
      </c>
      <c r="G28" s="608"/>
      <c r="H28" s="608"/>
      <c r="I28" s="798">
        <v>0</v>
      </c>
      <c r="J28" s="798"/>
      <c r="K28" s="798"/>
      <c r="L28" s="798">
        <v>0</v>
      </c>
      <c r="M28" s="793"/>
      <c r="N28" s="608"/>
      <c r="O28" s="798">
        <v>0</v>
      </c>
      <c r="P28" s="798">
        <v>0</v>
      </c>
      <c r="Q28" s="724"/>
      <c r="R28" s="106">
        <f>+D11-D97</f>
        <v>7333828</v>
      </c>
    </row>
    <row r="29" spans="1:20" ht="20.100000000000001" customHeight="1">
      <c r="A29" s="794" t="s">
        <v>112</v>
      </c>
      <c r="B29" s="795" t="s">
        <v>132</v>
      </c>
      <c r="C29" s="798">
        <v>226220</v>
      </c>
      <c r="D29" s="801">
        <v>226220</v>
      </c>
      <c r="E29" s="608">
        <f>F29+I29+L29</f>
        <v>227262.46899999998</v>
      </c>
      <c r="F29" s="608">
        <f>246730.874657+1132.343+3630.126-24230.874657</f>
        <v>227262.46899999998</v>
      </c>
      <c r="G29" s="608"/>
      <c r="H29" s="608"/>
      <c r="I29" s="798">
        <v>0</v>
      </c>
      <c r="J29" s="798"/>
      <c r="K29" s="798"/>
      <c r="L29" s="798">
        <v>0</v>
      </c>
      <c r="M29" s="793"/>
      <c r="N29" s="608"/>
      <c r="O29" s="793">
        <f t="shared" ref="O29:O77" si="2">E29/C29*100</f>
        <v>100.46082088232693</v>
      </c>
      <c r="P29" s="793">
        <f t="shared" ref="P29:P77" si="3">E29/D29*100</f>
        <v>100.46082088232693</v>
      </c>
      <c r="Q29" s="724"/>
      <c r="R29" s="106">
        <f>+R28+D29+D97</f>
        <v>7560048</v>
      </c>
    </row>
    <row r="30" spans="1:20" ht="18" hidden="1" customHeight="1">
      <c r="A30" s="794"/>
      <c r="B30" s="795"/>
      <c r="C30" s="798"/>
      <c r="D30" s="802"/>
      <c r="E30" s="608"/>
      <c r="F30" s="608"/>
      <c r="G30" s="608"/>
      <c r="H30" s="608"/>
      <c r="I30" s="793"/>
      <c r="J30" s="793"/>
      <c r="K30" s="608"/>
      <c r="L30" s="793"/>
      <c r="M30" s="793"/>
      <c r="N30" s="608"/>
      <c r="O30" s="793" t="e">
        <f t="shared" si="2"/>
        <v>#DIV/0!</v>
      </c>
      <c r="P30" s="793" t="e">
        <f t="shared" si="3"/>
        <v>#DIV/0!</v>
      </c>
      <c r="Q30" s="724"/>
      <c r="R30" s="106"/>
    </row>
    <row r="31" spans="1:20" ht="18" hidden="1" customHeight="1">
      <c r="A31" s="794"/>
      <c r="B31" s="795"/>
      <c r="C31" s="798"/>
      <c r="D31" s="802"/>
      <c r="E31" s="608"/>
      <c r="F31" s="608"/>
      <c r="G31" s="608"/>
      <c r="H31" s="608"/>
      <c r="I31" s="793"/>
      <c r="J31" s="793"/>
      <c r="K31" s="608"/>
      <c r="L31" s="793"/>
      <c r="M31" s="793"/>
      <c r="N31" s="608"/>
      <c r="O31" s="793" t="e">
        <f t="shared" si="2"/>
        <v>#DIV/0!</v>
      </c>
      <c r="P31" s="793" t="e">
        <f t="shared" si="3"/>
        <v>#DIV/0!</v>
      </c>
      <c r="Q31" s="724"/>
      <c r="R31" s="106"/>
    </row>
    <row r="32" spans="1:20" ht="15" hidden="1" customHeight="1">
      <c r="A32" s="799"/>
      <c r="B32" s="744" t="s">
        <v>362</v>
      </c>
      <c r="C32" s="798"/>
      <c r="D32" s="803"/>
      <c r="E32" s="740">
        <f>F32+I32+L32</f>
        <v>0</v>
      </c>
      <c r="F32" s="628"/>
      <c r="G32" s="628"/>
      <c r="H32" s="628"/>
      <c r="I32" s="740"/>
      <c r="J32" s="740">
        <f>J34</f>
        <v>0</v>
      </c>
      <c r="K32" s="628"/>
      <c r="L32" s="740"/>
      <c r="M32" s="740"/>
      <c r="N32" s="628"/>
      <c r="O32" s="793" t="e">
        <f t="shared" si="2"/>
        <v>#DIV/0!</v>
      </c>
      <c r="P32" s="793" t="e">
        <f t="shared" si="3"/>
        <v>#DIV/0!</v>
      </c>
      <c r="Q32" s="726"/>
      <c r="R32" s="106"/>
      <c r="S32" s="105" t="s">
        <v>363</v>
      </c>
      <c r="T32" s="106"/>
    </row>
    <row r="33" spans="1:20" ht="15" hidden="1" customHeight="1">
      <c r="A33" s="799"/>
      <c r="B33" s="744" t="s">
        <v>364</v>
      </c>
      <c r="C33" s="798"/>
      <c r="D33" s="803"/>
      <c r="E33" s="740">
        <f>F33+I33+L33</f>
        <v>0</v>
      </c>
      <c r="F33" s="628"/>
      <c r="G33" s="628"/>
      <c r="H33" s="628"/>
      <c r="I33" s="740"/>
      <c r="J33" s="740"/>
      <c r="K33" s="628"/>
      <c r="L33" s="740"/>
      <c r="M33" s="740"/>
      <c r="N33" s="628"/>
      <c r="O33" s="793" t="e">
        <f t="shared" si="2"/>
        <v>#DIV/0!</v>
      </c>
      <c r="P33" s="793" t="e">
        <f t="shared" si="3"/>
        <v>#DIV/0!</v>
      </c>
      <c r="Q33" s="726"/>
      <c r="R33" s="106"/>
      <c r="T33" s="106"/>
    </row>
    <row r="34" spans="1:20" s="116" customFormat="1" ht="15" hidden="1" customHeight="1">
      <c r="A34" s="799">
        <v>1</v>
      </c>
      <c r="B34" s="800" t="s">
        <v>365</v>
      </c>
      <c r="C34" s="798"/>
      <c r="D34" s="804"/>
      <c r="E34" s="634">
        <f>F34+I34+L34</f>
        <v>0</v>
      </c>
      <c r="F34" s="615"/>
      <c r="G34" s="615"/>
      <c r="H34" s="615"/>
      <c r="I34" s="634"/>
      <c r="J34" s="634"/>
      <c r="K34" s="615"/>
      <c r="L34" s="634"/>
      <c r="M34" s="634"/>
      <c r="N34" s="615"/>
      <c r="O34" s="793" t="e">
        <f t="shared" si="2"/>
        <v>#DIV/0!</v>
      </c>
      <c r="P34" s="793" t="e">
        <f t="shared" si="3"/>
        <v>#DIV/0!</v>
      </c>
      <c r="Q34" s="725" t="e">
        <f>+E34/"#REF!*100"</f>
        <v>#VALUE!</v>
      </c>
      <c r="R34" s="290"/>
    </row>
    <row r="35" spans="1:20" s="293" customFormat="1" ht="15" hidden="1" customHeight="1">
      <c r="A35" s="743"/>
      <c r="B35" s="744" t="s">
        <v>366</v>
      </c>
      <c r="C35" s="798"/>
      <c r="D35" s="803"/>
      <c r="E35" s="740">
        <f>F35+I35+L35</f>
        <v>0</v>
      </c>
      <c r="F35" s="628"/>
      <c r="G35" s="628"/>
      <c r="H35" s="628"/>
      <c r="I35" s="740"/>
      <c r="J35" s="740"/>
      <c r="K35" s="628"/>
      <c r="L35" s="740"/>
      <c r="M35" s="740"/>
      <c r="N35" s="628"/>
      <c r="O35" s="793" t="e">
        <f t="shared" si="2"/>
        <v>#DIV/0!</v>
      </c>
      <c r="P35" s="793" t="e">
        <f t="shared" si="3"/>
        <v>#DIV/0!</v>
      </c>
      <c r="Q35" s="726"/>
      <c r="R35" s="292"/>
      <c r="T35" s="294"/>
    </row>
    <row r="36" spans="1:20" s="293" customFormat="1" ht="15" hidden="1" customHeight="1">
      <c r="A36" s="743">
        <v>2</v>
      </c>
      <c r="B36" s="800" t="s">
        <v>367</v>
      </c>
      <c r="C36" s="798"/>
      <c r="D36" s="803"/>
      <c r="E36" s="740">
        <f>+F36</f>
        <v>0</v>
      </c>
      <c r="F36" s="628"/>
      <c r="G36" s="628"/>
      <c r="H36" s="628"/>
      <c r="I36" s="740"/>
      <c r="J36" s="740"/>
      <c r="K36" s="628"/>
      <c r="L36" s="740"/>
      <c r="M36" s="740"/>
      <c r="N36" s="628"/>
      <c r="O36" s="793" t="e">
        <f t="shared" si="2"/>
        <v>#DIV/0!</v>
      </c>
      <c r="P36" s="793" t="e">
        <f t="shared" si="3"/>
        <v>#DIV/0!</v>
      </c>
      <c r="Q36" s="726"/>
      <c r="R36" s="292"/>
      <c r="T36" s="294"/>
    </row>
    <row r="37" spans="1:20" ht="15" hidden="1" customHeight="1">
      <c r="A37" s="799">
        <v>3</v>
      </c>
      <c r="B37" s="800" t="s">
        <v>368</v>
      </c>
      <c r="C37" s="798"/>
      <c r="D37" s="805"/>
      <c r="E37" s="634">
        <f>+F37+I37+L37</f>
        <v>0</v>
      </c>
      <c r="F37" s="615"/>
      <c r="G37" s="615"/>
      <c r="H37" s="615"/>
      <c r="I37" s="634"/>
      <c r="J37" s="634"/>
      <c r="K37" s="615"/>
      <c r="L37" s="634"/>
      <c r="M37" s="634"/>
      <c r="N37" s="615"/>
      <c r="O37" s="793" t="e">
        <f t="shared" si="2"/>
        <v>#DIV/0!</v>
      </c>
      <c r="P37" s="793" t="e">
        <f t="shared" si="3"/>
        <v>#DIV/0!</v>
      </c>
      <c r="Q37" s="725"/>
      <c r="T37" s="106"/>
    </row>
    <row r="38" spans="1:20" ht="20.100000000000001" customHeight="1">
      <c r="A38" s="794" t="s">
        <v>130</v>
      </c>
      <c r="B38" s="795" t="s">
        <v>62</v>
      </c>
      <c r="C38" s="798">
        <v>5499118</v>
      </c>
      <c r="D38" s="806">
        <f>+D39+D40+D42+D43+D44+D45+D46+D47+D48+D49+D50+D51+D52-1</f>
        <v>5505918</v>
      </c>
      <c r="E38" s="793">
        <f>+F38+I38+L38</f>
        <v>5826674.0866430001</v>
      </c>
      <c r="F38" s="608">
        <f t="shared" ref="F38:N38" si="4">+F39+F40+F42+F43+F44+F45+F46+F47+F48+F49+F50+F51+F52</f>
        <v>2149702.5019509997</v>
      </c>
      <c r="G38" s="608">
        <f t="shared" si="4"/>
        <v>12289.712348999999</v>
      </c>
      <c r="H38" s="608">
        <f t="shared" si="4"/>
        <v>0</v>
      </c>
      <c r="I38" s="608">
        <f t="shared" si="4"/>
        <v>2940133.1716049998</v>
      </c>
      <c r="J38" s="608">
        <f t="shared" si="4"/>
        <v>6184.9528</v>
      </c>
      <c r="K38" s="608">
        <f t="shared" si="4"/>
        <v>0</v>
      </c>
      <c r="L38" s="608">
        <f t="shared" si="4"/>
        <v>736838.41308699991</v>
      </c>
      <c r="M38" s="608">
        <f t="shared" si="4"/>
        <v>9460.2830059999997</v>
      </c>
      <c r="N38" s="608">
        <f t="shared" si="4"/>
        <v>0</v>
      </c>
      <c r="O38" s="793">
        <f t="shared" si="2"/>
        <v>105.95652042096569</v>
      </c>
      <c r="P38" s="793">
        <f t="shared" si="3"/>
        <v>105.82566043742388</v>
      </c>
      <c r="Q38" s="725" t="e">
        <f>+E38/"#REF!*100"</f>
        <v>#VALUE!</v>
      </c>
      <c r="R38" s="106">
        <f>+J38+M38</f>
        <v>15645.235806000001</v>
      </c>
      <c r="T38" s="106"/>
    </row>
    <row r="39" spans="1:20" ht="17.25" hidden="1" customHeight="1">
      <c r="A39" s="799">
        <v>1</v>
      </c>
      <c r="B39" s="800" t="s">
        <v>335</v>
      </c>
      <c r="C39" s="798">
        <v>0</v>
      </c>
      <c r="D39" s="807">
        <v>109888</v>
      </c>
      <c r="E39" s="634">
        <f>F39+I39+L39</f>
        <v>139901.12236499999</v>
      </c>
      <c r="F39" s="615">
        <v>45230.463499999998</v>
      </c>
      <c r="G39" s="615"/>
      <c r="H39" s="615"/>
      <c r="I39" s="615">
        <v>40984.356299999999</v>
      </c>
      <c r="J39" s="634"/>
      <c r="K39" s="615"/>
      <c r="L39" s="615">
        <v>53686.302564999998</v>
      </c>
      <c r="M39" s="634"/>
      <c r="N39" s="615"/>
      <c r="O39" s="798">
        <v>0</v>
      </c>
      <c r="P39" s="634">
        <f t="shared" si="3"/>
        <v>127.31246575149243</v>
      </c>
      <c r="Q39" s="725"/>
      <c r="R39" s="129"/>
      <c r="T39" s="106"/>
    </row>
    <row r="40" spans="1:20" ht="17.25" hidden="1" customHeight="1">
      <c r="A40" s="799">
        <v>2</v>
      </c>
      <c r="B40" s="800" t="s">
        <v>337</v>
      </c>
      <c r="C40" s="798">
        <v>0</v>
      </c>
      <c r="D40" s="807">
        <v>37211</v>
      </c>
      <c r="E40" s="634">
        <f>F40+I40+L40</f>
        <v>47492.136631000001</v>
      </c>
      <c r="F40" s="615">
        <v>14632.672278</v>
      </c>
      <c r="G40" s="615"/>
      <c r="H40" s="615"/>
      <c r="I40" s="615">
        <v>12503.892400000001</v>
      </c>
      <c r="J40" s="634"/>
      <c r="K40" s="615"/>
      <c r="L40" s="615">
        <v>20355.571952999999</v>
      </c>
      <c r="M40" s="634"/>
      <c r="N40" s="615"/>
      <c r="O40" s="798">
        <v>0</v>
      </c>
      <c r="P40" s="634">
        <f t="shared" si="3"/>
        <v>127.62929410926877</v>
      </c>
      <c r="Q40" s="725"/>
      <c r="R40" s="129">
        <f>+D11-D29+D97</f>
        <v>7107608</v>
      </c>
      <c r="T40" s="106"/>
    </row>
    <row r="41" spans="1:20" ht="20.100000000000001" customHeight="1">
      <c r="A41" s="799"/>
      <c r="B41" s="744" t="s">
        <v>75</v>
      </c>
      <c r="C41" s="798"/>
      <c r="D41" s="798">
        <v>0</v>
      </c>
      <c r="E41" s="798">
        <v>0</v>
      </c>
      <c r="F41" s="798"/>
      <c r="G41" s="798"/>
      <c r="H41" s="798"/>
      <c r="I41" s="798"/>
      <c r="J41" s="798"/>
      <c r="K41" s="798"/>
      <c r="L41" s="798"/>
      <c r="M41" s="798"/>
      <c r="N41" s="798"/>
      <c r="O41" s="798"/>
      <c r="P41" s="798">
        <v>0</v>
      </c>
      <c r="Q41" s="725"/>
      <c r="R41" s="129"/>
      <c r="T41" s="106"/>
    </row>
    <row r="42" spans="1:20" s="572" customFormat="1" ht="20.100000000000001" customHeight="1">
      <c r="A42" s="743">
        <v>1</v>
      </c>
      <c r="B42" s="744" t="s">
        <v>339</v>
      </c>
      <c r="C42" s="738">
        <v>1955995</v>
      </c>
      <c r="D42" s="739">
        <v>2043669</v>
      </c>
      <c r="E42" s="740">
        <f t="shared" ref="E42:E52" si="5">F42+I42+L42</f>
        <v>2084208.9082770001</v>
      </c>
      <c r="F42" s="628">
        <f>364904.996735-G42</f>
        <v>362357.91205499996</v>
      </c>
      <c r="G42" s="628">
        <f>14.4+5.179+154.8+1575.05898+797.6467</f>
        <v>2547.0846799999999</v>
      </c>
      <c r="H42" s="628"/>
      <c r="I42" s="628">
        <f>1719726.001324-J42</f>
        <v>1715892.794524</v>
      </c>
      <c r="J42" s="740">
        <f>152.987+100.3915+16.636+3563.1923</f>
        <v>3833.2067999999999</v>
      </c>
      <c r="K42" s="628"/>
      <c r="L42" s="628">
        <v>5958.2016979999999</v>
      </c>
      <c r="M42" s="740"/>
      <c r="N42" s="628"/>
      <c r="O42" s="740">
        <f t="shared" si="2"/>
        <v>106.55492004207578</v>
      </c>
      <c r="P42" s="740">
        <f t="shared" si="3"/>
        <v>101.98368269406642</v>
      </c>
      <c r="Q42" s="727"/>
      <c r="T42" s="573"/>
    </row>
    <row r="43" spans="1:20" s="572" customFormat="1" ht="20.100000000000001" customHeight="1">
      <c r="A43" s="743">
        <v>2</v>
      </c>
      <c r="B43" s="744" t="s">
        <v>341</v>
      </c>
      <c r="C43" s="738">
        <v>24350</v>
      </c>
      <c r="D43" s="739">
        <v>24350</v>
      </c>
      <c r="E43" s="740">
        <f t="shared" si="5"/>
        <v>27892.280896</v>
      </c>
      <c r="F43" s="628">
        <v>22954.017722000001</v>
      </c>
      <c r="G43" s="628"/>
      <c r="H43" s="628"/>
      <c r="I43" s="628">
        <v>4927.8031739999997</v>
      </c>
      <c r="J43" s="740"/>
      <c r="K43" s="628"/>
      <c r="L43" s="628">
        <v>10.46</v>
      </c>
      <c r="M43" s="740"/>
      <c r="N43" s="628"/>
      <c r="O43" s="740">
        <f t="shared" si="2"/>
        <v>114.54735480903491</v>
      </c>
      <c r="P43" s="740">
        <f t="shared" si="3"/>
        <v>114.54735480903491</v>
      </c>
      <c r="Q43" s="727"/>
      <c r="R43" s="581"/>
      <c r="T43" s="573"/>
    </row>
    <row r="44" spans="1:20" ht="17.25" hidden="1" customHeight="1">
      <c r="A44" s="799">
        <v>5</v>
      </c>
      <c r="B44" s="800" t="s">
        <v>343</v>
      </c>
      <c r="C44" s="798">
        <v>0</v>
      </c>
      <c r="D44" s="807">
        <v>659397</v>
      </c>
      <c r="E44" s="634">
        <f>F44+I44+L44</f>
        <v>696479.74568399996</v>
      </c>
      <c r="F44" s="615">
        <f>523755.313896-G44</f>
        <v>523712.07057899999</v>
      </c>
      <c r="G44" s="615">
        <v>43.243316999999998</v>
      </c>
      <c r="H44" s="615"/>
      <c r="I44" s="615">
        <f>172386.158105-J44</f>
        <v>172350.74710500002</v>
      </c>
      <c r="J44" s="634">
        <f>0.605+2.514+32.292</f>
        <v>35.411000000000001</v>
      </c>
      <c r="K44" s="615"/>
      <c r="L44" s="615">
        <v>416.928</v>
      </c>
      <c r="M44" s="634"/>
      <c r="N44" s="615"/>
      <c r="O44" s="798">
        <v>0</v>
      </c>
      <c r="P44" s="634">
        <f t="shared" si="3"/>
        <v>105.623735880509</v>
      </c>
      <c r="Q44" s="725"/>
      <c r="T44" s="106"/>
    </row>
    <row r="45" spans="1:20" ht="17.25" hidden="1" customHeight="1">
      <c r="A45" s="799">
        <v>6</v>
      </c>
      <c r="B45" s="800" t="s">
        <v>345</v>
      </c>
      <c r="C45" s="798">
        <v>0</v>
      </c>
      <c r="D45" s="807">
        <v>49603</v>
      </c>
      <c r="E45" s="634">
        <f t="shared" si="5"/>
        <v>73190.323566999999</v>
      </c>
      <c r="F45" s="615">
        <f>45551.609708-G45</f>
        <v>45391.524708000004</v>
      </c>
      <c r="G45" s="615">
        <f>10.435+149.65</f>
        <v>160.08500000000001</v>
      </c>
      <c r="H45" s="615"/>
      <c r="I45" s="615">
        <v>20556.220491</v>
      </c>
      <c r="J45" s="634"/>
      <c r="K45" s="615"/>
      <c r="L45" s="615">
        <v>7242.5783680000004</v>
      </c>
      <c r="M45" s="634"/>
      <c r="N45" s="615"/>
      <c r="O45" s="798">
        <v>0</v>
      </c>
      <c r="P45" s="634">
        <f t="shared" si="3"/>
        <v>147.55221169485716</v>
      </c>
      <c r="Q45" s="725"/>
      <c r="T45" s="106"/>
    </row>
    <row r="46" spans="1:20" ht="17.25" hidden="1" customHeight="1">
      <c r="A46" s="799">
        <v>7</v>
      </c>
      <c r="B46" s="800" t="s">
        <v>347</v>
      </c>
      <c r="C46" s="798">
        <v>0</v>
      </c>
      <c r="D46" s="807">
        <v>19806</v>
      </c>
      <c r="E46" s="634">
        <f t="shared" si="5"/>
        <v>21312.679032999997</v>
      </c>
      <c r="F46" s="615">
        <f>9877.51363-G46</f>
        <v>9719.9785999999986</v>
      </c>
      <c r="G46" s="615">
        <v>157.53503000000001</v>
      </c>
      <c r="H46" s="615"/>
      <c r="I46" s="615">
        <v>10105.247084000001</v>
      </c>
      <c r="J46" s="634"/>
      <c r="K46" s="615"/>
      <c r="L46" s="615">
        <v>1487.4533489999999</v>
      </c>
      <c r="M46" s="634"/>
      <c r="N46" s="615"/>
      <c r="O46" s="798">
        <v>0</v>
      </c>
      <c r="P46" s="634">
        <f t="shared" si="3"/>
        <v>107.60718485812379</v>
      </c>
      <c r="Q46" s="725"/>
      <c r="T46" s="106"/>
    </row>
    <row r="47" spans="1:20" ht="17.25" hidden="1" customHeight="1">
      <c r="A47" s="799">
        <v>8</v>
      </c>
      <c r="B47" s="800" t="s">
        <v>349</v>
      </c>
      <c r="C47" s="798">
        <v>0</v>
      </c>
      <c r="D47" s="807">
        <v>23650</v>
      </c>
      <c r="E47" s="634">
        <f t="shared" si="5"/>
        <v>22099.841078000001</v>
      </c>
      <c r="F47" s="615">
        <f>12543.09383-G47</f>
        <v>12393.09383</v>
      </c>
      <c r="G47" s="615">
        <v>150</v>
      </c>
      <c r="H47" s="615"/>
      <c r="I47" s="615">
        <v>6445.4601480000001</v>
      </c>
      <c r="J47" s="634"/>
      <c r="K47" s="615"/>
      <c r="L47" s="615">
        <v>3261.2871</v>
      </c>
      <c r="M47" s="634"/>
      <c r="N47" s="615"/>
      <c r="O47" s="798">
        <v>0</v>
      </c>
      <c r="P47" s="634">
        <f t="shared" si="3"/>
        <v>93.445416820295989</v>
      </c>
      <c r="Q47" s="725"/>
      <c r="T47" s="106"/>
    </row>
    <row r="48" spans="1:20" ht="17.25" hidden="1" customHeight="1">
      <c r="A48" s="799">
        <v>9</v>
      </c>
      <c r="B48" s="800" t="s">
        <v>351</v>
      </c>
      <c r="C48" s="808">
        <v>65780</v>
      </c>
      <c r="D48" s="807">
        <v>79995</v>
      </c>
      <c r="E48" s="634">
        <f t="shared" si="5"/>
        <v>75088.071057000008</v>
      </c>
      <c r="F48" s="615">
        <v>29252.784916000001</v>
      </c>
      <c r="G48" s="615"/>
      <c r="H48" s="615"/>
      <c r="I48" s="615">
        <v>40228.215437999999</v>
      </c>
      <c r="J48" s="634"/>
      <c r="K48" s="615"/>
      <c r="L48" s="615">
        <v>5607.0707030000003</v>
      </c>
      <c r="M48" s="634"/>
      <c r="N48" s="615"/>
      <c r="O48" s="634">
        <f t="shared" si="2"/>
        <v>114.15030565065372</v>
      </c>
      <c r="P48" s="634">
        <f t="shared" si="3"/>
        <v>93.865955443465225</v>
      </c>
      <c r="Q48" s="725"/>
      <c r="T48" s="106"/>
    </row>
    <row r="49" spans="1:20" ht="17.25" hidden="1" customHeight="1">
      <c r="A49" s="799">
        <v>10</v>
      </c>
      <c r="B49" s="800" t="s">
        <v>353</v>
      </c>
      <c r="C49" s="798">
        <v>0</v>
      </c>
      <c r="D49" s="807">
        <v>1067598</v>
      </c>
      <c r="E49" s="634">
        <f t="shared" si="5"/>
        <v>981428.31561100006</v>
      </c>
      <c r="F49" s="615">
        <f>570587.549538-G49</f>
        <v>563124.19896800001</v>
      </c>
      <c r="G49" s="615">
        <f>7383.35057+80</f>
        <v>7463.3505699999996</v>
      </c>
      <c r="H49" s="615"/>
      <c r="I49" s="615">
        <f>333820.630023-J49</f>
        <v>332448.78602300002</v>
      </c>
      <c r="J49" s="634">
        <f>1249.22+12.624+110</f>
        <v>1371.8440000000001</v>
      </c>
      <c r="K49" s="615"/>
      <c r="L49" s="615">
        <f>91008.380926-M49</f>
        <v>85855.330619999993</v>
      </c>
      <c r="M49" s="634">
        <f>1229.102+2455.072+365.4+25.2+31.6+1046.676306</f>
        <v>5153.0503060000001</v>
      </c>
      <c r="N49" s="615"/>
      <c r="O49" s="798">
        <v>0</v>
      </c>
      <c r="P49" s="634">
        <f t="shared" si="3"/>
        <v>91.928639395259268</v>
      </c>
      <c r="Q49" s="725"/>
      <c r="R49" s="115"/>
      <c r="T49" s="106"/>
    </row>
    <row r="50" spans="1:20" ht="29.25" hidden="1" customHeight="1">
      <c r="A50" s="799">
        <v>11</v>
      </c>
      <c r="B50" s="800" t="s">
        <v>667</v>
      </c>
      <c r="C50" s="798">
        <v>0</v>
      </c>
      <c r="D50" s="807">
        <v>1104382</v>
      </c>
      <c r="E50" s="634">
        <f t="shared" si="5"/>
        <v>1233558.0818599998</v>
      </c>
      <c r="F50" s="615">
        <f>444879.882124-G50</f>
        <v>443111.46837199997</v>
      </c>
      <c r="G50" s="615">
        <f>1492.415752+80+195.998</f>
        <v>1768.4137520000002</v>
      </c>
      <c r="H50" s="615"/>
      <c r="I50" s="615">
        <f>259040.621315-J50</f>
        <v>258166.13031499999</v>
      </c>
      <c r="J50" s="634">
        <v>874.49099999999999</v>
      </c>
      <c r="K50" s="615"/>
      <c r="L50" s="615">
        <f>535486.310873-M50</f>
        <v>532280.48317299993</v>
      </c>
      <c r="M50" s="634">
        <f>1865.9272+1339.9005</f>
        <v>3205.8276999999998</v>
      </c>
      <c r="N50" s="615"/>
      <c r="O50" s="798">
        <v>0</v>
      </c>
      <c r="P50" s="634">
        <f t="shared" si="3"/>
        <v>111.69668483006785</v>
      </c>
      <c r="Q50" s="725"/>
      <c r="R50" s="115"/>
      <c r="T50" s="106"/>
    </row>
    <row r="51" spans="1:20" ht="17.25" hidden="1" customHeight="1">
      <c r="A51" s="799">
        <v>12</v>
      </c>
      <c r="B51" s="800" t="s">
        <v>357</v>
      </c>
      <c r="C51" s="798">
        <v>0</v>
      </c>
      <c r="D51" s="807">
        <v>231185</v>
      </c>
      <c r="E51" s="634">
        <f t="shared" si="5"/>
        <v>358868.13499399996</v>
      </c>
      <c r="F51" s="615">
        <v>45776.358121999998</v>
      </c>
      <c r="G51" s="615"/>
      <c r="H51" s="615"/>
      <c r="I51" s="615">
        <v>295100.32654699998</v>
      </c>
      <c r="J51" s="634"/>
      <c r="K51" s="615"/>
      <c r="L51" s="615">
        <f>19092.855325-M51</f>
        <v>17991.450325000002</v>
      </c>
      <c r="M51" s="634">
        <v>1101.405</v>
      </c>
      <c r="N51" s="615"/>
      <c r="O51" s="798">
        <v>0</v>
      </c>
      <c r="P51" s="634">
        <f t="shared" si="3"/>
        <v>155.22985271276249</v>
      </c>
      <c r="Q51" s="725"/>
      <c r="R51" s="200">
        <f>287180.488582+37667.779756+65018+488732</f>
        <v>878598.26833800005</v>
      </c>
      <c r="T51" s="106"/>
    </row>
    <row r="52" spans="1:20" ht="17.25" hidden="1" customHeight="1">
      <c r="A52" s="799">
        <v>13</v>
      </c>
      <c r="B52" s="800" t="s">
        <v>369</v>
      </c>
      <c r="C52" s="798">
        <v>0</v>
      </c>
      <c r="D52" s="807">
        <v>55185</v>
      </c>
      <c r="E52" s="634">
        <f t="shared" si="5"/>
        <v>65154.445589999901</v>
      </c>
      <c r="F52" s="615">
        <v>32045.958300999999</v>
      </c>
      <c r="G52" s="615"/>
      <c r="H52" s="615"/>
      <c r="I52" s="615">
        <f>30493.1920559999-J52</f>
        <v>30423.192055999902</v>
      </c>
      <c r="J52" s="634">
        <v>70</v>
      </c>
      <c r="K52" s="615"/>
      <c r="L52" s="615">
        <v>2685.2952329999998</v>
      </c>
      <c r="M52" s="634"/>
      <c r="N52" s="615"/>
      <c r="O52" s="798">
        <v>0</v>
      </c>
      <c r="P52" s="634">
        <f t="shared" si="3"/>
        <v>118.06549893992914</v>
      </c>
      <c r="Q52" s="725"/>
      <c r="T52" s="106"/>
    </row>
    <row r="53" spans="1:20" ht="17.25" hidden="1" customHeight="1">
      <c r="A53" s="794"/>
      <c r="B53" s="795"/>
      <c r="C53" s="797"/>
      <c r="D53" s="806"/>
      <c r="E53" s="793"/>
      <c r="F53" s="608"/>
      <c r="G53" s="608"/>
      <c r="H53" s="608"/>
      <c r="I53" s="608"/>
      <c r="J53" s="793"/>
      <c r="K53" s="608"/>
      <c r="L53" s="608"/>
      <c r="M53" s="793"/>
      <c r="N53" s="608"/>
      <c r="O53" s="793" t="e">
        <f t="shared" si="2"/>
        <v>#DIV/0!</v>
      </c>
      <c r="P53" s="793" t="e">
        <f t="shared" si="3"/>
        <v>#DIV/0!</v>
      </c>
      <c r="Q53" s="725"/>
      <c r="T53" s="106"/>
    </row>
    <row r="54" spans="1:20" ht="17.25" hidden="1" customHeight="1">
      <c r="A54" s="794"/>
      <c r="B54" s="795"/>
      <c r="C54" s="797"/>
      <c r="D54" s="806"/>
      <c r="E54" s="793"/>
      <c r="F54" s="608"/>
      <c r="G54" s="608"/>
      <c r="H54" s="608"/>
      <c r="I54" s="608"/>
      <c r="J54" s="793"/>
      <c r="K54" s="608"/>
      <c r="L54" s="608"/>
      <c r="M54" s="793"/>
      <c r="N54" s="608"/>
      <c r="O54" s="793" t="e">
        <f t="shared" si="2"/>
        <v>#DIV/0!</v>
      </c>
      <c r="P54" s="793" t="e">
        <f t="shared" si="3"/>
        <v>#DIV/0!</v>
      </c>
      <c r="Q54" s="725"/>
      <c r="T54" s="106"/>
    </row>
    <row r="55" spans="1:20" ht="18.75" hidden="1" customHeight="1">
      <c r="A55" s="799">
        <v>1</v>
      </c>
      <c r="B55" s="800" t="s">
        <v>370</v>
      </c>
      <c r="C55" s="808"/>
      <c r="D55" s="804"/>
      <c r="E55" s="634">
        <f>F55+I55+L55</f>
        <v>0</v>
      </c>
      <c r="F55" s="615"/>
      <c r="G55" s="615"/>
      <c r="H55" s="615"/>
      <c r="I55" s="634"/>
      <c r="J55" s="634"/>
      <c r="K55" s="615"/>
      <c r="L55" s="634"/>
      <c r="M55" s="634"/>
      <c r="N55" s="615"/>
      <c r="O55" s="793" t="e">
        <f t="shared" si="2"/>
        <v>#DIV/0!</v>
      </c>
      <c r="P55" s="793" t="e">
        <f t="shared" si="3"/>
        <v>#DIV/0!</v>
      </c>
      <c r="Q55" s="725"/>
      <c r="T55" s="106"/>
    </row>
    <row r="56" spans="1:20" ht="15.75" hidden="1" customHeight="1">
      <c r="A56" s="799">
        <v>2</v>
      </c>
      <c r="B56" s="800" t="s">
        <v>371</v>
      </c>
      <c r="C56" s="808"/>
      <c r="D56" s="804"/>
      <c r="E56" s="634">
        <f>SUM(E57:E59)</f>
        <v>0</v>
      </c>
      <c r="F56" s="615">
        <f t="shared" ref="F56:N56" si="6">+F57+F58+F59</f>
        <v>0</v>
      </c>
      <c r="G56" s="615">
        <f t="shared" si="6"/>
        <v>0</v>
      </c>
      <c r="H56" s="615">
        <f t="shared" si="6"/>
        <v>0</v>
      </c>
      <c r="I56" s="634">
        <f t="shared" si="6"/>
        <v>0</v>
      </c>
      <c r="J56" s="634">
        <f t="shared" si="6"/>
        <v>0</v>
      </c>
      <c r="K56" s="615">
        <f t="shared" si="6"/>
        <v>0</v>
      </c>
      <c r="L56" s="634">
        <f t="shared" si="6"/>
        <v>0</v>
      </c>
      <c r="M56" s="634">
        <f t="shared" si="6"/>
        <v>0</v>
      </c>
      <c r="N56" s="615">
        <f t="shared" si="6"/>
        <v>0</v>
      </c>
      <c r="O56" s="793" t="e">
        <f t="shared" si="2"/>
        <v>#DIV/0!</v>
      </c>
      <c r="P56" s="793" t="e">
        <f t="shared" si="3"/>
        <v>#DIV/0!</v>
      </c>
      <c r="Q56" s="725"/>
      <c r="T56" s="297"/>
    </row>
    <row r="57" spans="1:20" ht="15.75" hidden="1" customHeight="1">
      <c r="A57" s="743" t="s">
        <v>372</v>
      </c>
      <c r="B57" s="744" t="s">
        <v>373</v>
      </c>
      <c r="C57" s="809"/>
      <c r="D57" s="803"/>
      <c r="E57" s="740">
        <f t="shared" ref="E57:E70" si="7">F57+I57+L57</f>
        <v>0</v>
      </c>
      <c r="F57" s="628"/>
      <c r="G57" s="628"/>
      <c r="H57" s="628"/>
      <c r="I57" s="740"/>
      <c r="J57" s="740"/>
      <c r="K57" s="628"/>
      <c r="L57" s="740"/>
      <c r="M57" s="740"/>
      <c r="N57" s="628"/>
      <c r="O57" s="793" t="e">
        <f t="shared" si="2"/>
        <v>#DIV/0!</v>
      </c>
      <c r="P57" s="793" t="e">
        <f t="shared" si="3"/>
        <v>#DIV/0!</v>
      </c>
      <c r="Q57" s="725"/>
      <c r="R57" s="106"/>
    </row>
    <row r="58" spans="1:20" ht="15.75" hidden="1" customHeight="1">
      <c r="A58" s="743" t="s">
        <v>374</v>
      </c>
      <c r="B58" s="744" t="s">
        <v>375</v>
      </c>
      <c r="C58" s="809"/>
      <c r="D58" s="803"/>
      <c r="E58" s="740">
        <f t="shared" si="7"/>
        <v>0</v>
      </c>
      <c r="F58" s="628"/>
      <c r="G58" s="628"/>
      <c r="H58" s="628"/>
      <c r="I58" s="740"/>
      <c r="J58" s="740"/>
      <c r="K58" s="628"/>
      <c r="L58" s="740"/>
      <c r="M58" s="740"/>
      <c r="N58" s="628"/>
      <c r="O58" s="793" t="e">
        <f t="shared" si="2"/>
        <v>#DIV/0!</v>
      </c>
      <c r="P58" s="793" t="e">
        <f t="shared" si="3"/>
        <v>#DIV/0!</v>
      </c>
      <c r="Q58" s="725"/>
    </row>
    <row r="59" spans="1:20" ht="15.75" hidden="1" customHeight="1">
      <c r="A59" s="743" t="s">
        <v>376</v>
      </c>
      <c r="B59" s="744" t="s">
        <v>377</v>
      </c>
      <c r="C59" s="809"/>
      <c r="D59" s="803"/>
      <c r="E59" s="740">
        <f t="shared" si="7"/>
        <v>0</v>
      </c>
      <c r="F59" s="628"/>
      <c r="G59" s="628"/>
      <c r="H59" s="628"/>
      <c r="I59" s="740"/>
      <c r="J59" s="810"/>
      <c r="K59" s="628"/>
      <c r="L59" s="740"/>
      <c r="M59" s="740"/>
      <c r="N59" s="628"/>
      <c r="O59" s="793" t="e">
        <f t="shared" si="2"/>
        <v>#DIV/0!</v>
      </c>
      <c r="P59" s="793" t="e">
        <f t="shared" si="3"/>
        <v>#DIV/0!</v>
      </c>
      <c r="Q59" s="725"/>
    </row>
    <row r="60" spans="1:20" ht="15.75" hidden="1" customHeight="1">
      <c r="A60" s="799">
        <v>3</v>
      </c>
      <c r="B60" s="800" t="s">
        <v>378</v>
      </c>
      <c r="C60" s="808"/>
      <c r="D60" s="804"/>
      <c r="E60" s="615">
        <f t="shared" si="7"/>
        <v>0</v>
      </c>
      <c r="F60" s="615">
        <f>+F61+F62+F63</f>
        <v>0</v>
      </c>
      <c r="G60" s="615">
        <f>+G61+G62+G63</f>
        <v>0</v>
      </c>
      <c r="H60" s="615">
        <f>+H61</f>
        <v>0</v>
      </c>
      <c r="I60" s="634">
        <f>+I61+I62+I63</f>
        <v>0</v>
      </c>
      <c r="J60" s="634">
        <f>+J61</f>
        <v>0</v>
      </c>
      <c r="K60" s="615">
        <f>+K61</f>
        <v>0</v>
      </c>
      <c r="L60" s="634">
        <f>+L61+L62+L63</f>
        <v>0</v>
      </c>
      <c r="M60" s="634">
        <f>+M61+M62+M63</f>
        <v>0</v>
      </c>
      <c r="N60" s="615"/>
      <c r="O60" s="793" t="e">
        <f t="shared" si="2"/>
        <v>#DIV/0!</v>
      </c>
      <c r="P60" s="793" t="e">
        <f t="shared" si="3"/>
        <v>#DIV/0!</v>
      </c>
      <c r="Q60" s="725"/>
    </row>
    <row r="61" spans="1:20" ht="15.75" hidden="1" customHeight="1">
      <c r="A61" s="743" t="s">
        <v>379</v>
      </c>
      <c r="B61" s="744" t="s">
        <v>380</v>
      </c>
      <c r="C61" s="809"/>
      <c r="D61" s="803"/>
      <c r="E61" s="740">
        <f t="shared" si="7"/>
        <v>0</v>
      </c>
      <c r="F61" s="628"/>
      <c r="G61" s="628"/>
      <c r="H61" s="628"/>
      <c r="I61" s="740"/>
      <c r="J61" s="740"/>
      <c r="K61" s="628"/>
      <c r="L61" s="740"/>
      <c r="M61" s="740"/>
      <c r="N61" s="628"/>
      <c r="O61" s="793" t="e">
        <f t="shared" si="2"/>
        <v>#DIV/0!</v>
      </c>
      <c r="P61" s="793" t="e">
        <f t="shared" si="3"/>
        <v>#DIV/0!</v>
      </c>
      <c r="Q61" s="725"/>
    </row>
    <row r="62" spans="1:20" ht="15.75" hidden="1" customHeight="1">
      <c r="A62" s="743" t="s">
        <v>381</v>
      </c>
      <c r="B62" s="744" t="s">
        <v>382</v>
      </c>
      <c r="C62" s="809"/>
      <c r="D62" s="803"/>
      <c r="E62" s="740">
        <f t="shared" si="7"/>
        <v>0</v>
      </c>
      <c r="F62" s="628"/>
      <c r="G62" s="628"/>
      <c r="H62" s="628"/>
      <c r="I62" s="740"/>
      <c r="J62" s="740"/>
      <c r="K62" s="628"/>
      <c r="L62" s="740"/>
      <c r="M62" s="740"/>
      <c r="N62" s="628"/>
      <c r="O62" s="793" t="e">
        <f t="shared" si="2"/>
        <v>#DIV/0!</v>
      </c>
      <c r="P62" s="793" t="e">
        <f t="shared" si="3"/>
        <v>#DIV/0!</v>
      </c>
      <c r="Q62" s="725"/>
    </row>
    <row r="63" spans="1:20" ht="15.75" hidden="1" customHeight="1">
      <c r="A63" s="743" t="s">
        <v>383</v>
      </c>
      <c r="B63" s="744" t="s">
        <v>384</v>
      </c>
      <c r="C63" s="809"/>
      <c r="D63" s="803"/>
      <c r="E63" s="740">
        <f t="shared" si="7"/>
        <v>0</v>
      </c>
      <c r="F63" s="628"/>
      <c r="G63" s="628"/>
      <c r="H63" s="628"/>
      <c r="I63" s="740"/>
      <c r="J63" s="740"/>
      <c r="K63" s="628"/>
      <c r="L63" s="740"/>
      <c r="M63" s="740"/>
      <c r="N63" s="628"/>
      <c r="O63" s="793" t="e">
        <f t="shared" si="2"/>
        <v>#DIV/0!</v>
      </c>
      <c r="P63" s="793" t="e">
        <f t="shared" si="3"/>
        <v>#DIV/0!</v>
      </c>
      <c r="Q63" s="725"/>
    </row>
    <row r="64" spans="1:20" ht="15.75" hidden="1" customHeight="1">
      <c r="A64" s="799">
        <v>4</v>
      </c>
      <c r="B64" s="800" t="s">
        <v>385</v>
      </c>
      <c r="C64" s="808"/>
      <c r="D64" s="804"/>
      <c r="E64" s="634">
        <f t="shared" si="7"/>
        <v>0</v>
      </c>
      <c r="F64" s="615"/>
      <c r="G64" s="615"/>
      <c r="H64" s="615"/>
      <c r="I64" s="634"/>
      <c r="J64" s="634"/>
      <c r="K64" s="615"/>
      <c r="L64" s="634"/>
      <c r="M64" s="634"/>
      <c r="N64" s="615"/>
      <c r="O64" s="793" t="e">
        <f t="shared" si="2"/>
        <v>#DIV/0!</v>
      </c>
      <c r="P64" s="793" t="e">
        <f t="shared" si="3"/>
        <v>#DIV/0!</v>
      </c>
      <c r="Q64" s="725"/>
    </row>
    <row r="65" spans="1:18" ht="15.75" hidden="1" customHeight="1">
      <c r="A65" s="799">
        <v>5</v>
      </c>
      <c r="B65" s="800" t="s">
        <v>386</v>
      </c>
      <c r="C65" s="808"/>
      <c r="D65" s="804"/>
      <c r="E65" s="634">
        <f t="shared" si="7"/>
        <v>0</v>
      </c>
      <c r="F65" s="615"/>
      <c r="G65" s="615"/>
      <c r="H65" s="615"/>
      <c r="I65" s="634"/>
      <c r="J65" s="634"/>
      <c r="K65" s="615"/>
      <c r="L65" s="634"/>
      <c r="M65" s="634"/>
      <c r="N65" s="615"/>
      <c r="O65" s="793" t="e">
        <f t="shared" si="2"/>
        <v>#DIV/0!</v>
      </c>
      <c r="P65" s="793" t="e">
        <f t="shared" si="3"/>
        <v>#DIV/0!</v>
      </c>
      <c r="Q65" s="725"/>
    </row>
    <row r="66" spans="1:18" ht="15.75" hidden="1" customHeight="1">
      <c r="A66" s="799">
        <v>6</v>
      </c>
      <c r="B66" s="800" t="s">
        <v>387</v>
      </c>
      <c r="C66" s="808"/>
      <c r="D66" s="804"/>
      <c r="E66" s="634">
        <f t="shared" si="7"/>
        <v>0</v>
      </c>
      <c r="F66" s="615"/>
      <c r="G66" s="615"/>
      <c r="H66" s="615"/>
      <c r="I66" s="634"/>
      <c r="J66" s="634"/>
      <c r="K66" s="615"/>
      <c r="L66" s="634"/>
      <c r="M66" s="634"/>
      <c r="N66" s="615"/>
      <c r="O66" s="793" t="e">
        <f t="shared" si="2"/>
        <v>#DIV/0!</v>
      </c>
      <c r="P66" s="793" t="e">
        <f t="shared" si="3"/>
        <v>#DIV/0!</v>
      </c>
      <c r="Q66" s="725"/>
    </row>
    <row r="67" spans="1:18" ht="15.75" hidden="1" customHeight="1">
      <c r="A67" s="799">
        <v>7</v>
      </c>
      <c r="B67" s="800" t="s">
        <v>388</v>
      </c>
      <c r="C67" s="808"/>
      <c r="D67" s="804"/>
      <c r="E67" s="634">
        <f t="shared" si="7"/>
        <v>0</v>
      </c>
      <c r="F67" s="615"/>
      <c r="G67" s="615"/>
      <c r="H67" s="615"/>
      <c r="I67" s="634"/>
      <c r="J67" s="634"/>
      <c r="K67" s="615"/>
      <c r="L67" s="634"/>
      <c r="M67" s="634"/>
      <c r="N67" s="615"/>
      <c r="O67" s="793" t="e">
        <f t="shared" si="2"/>
        <v>#DIV/0!</v>
      </c>
      <c r="P67" s="793" t="e">
        <f t="shared" si="3"/>
        <v>#DIV/0!</v>
      </c>
      <c r="Q67" s="725"/>
    </row>
    <row r="68" spans="1:18" ht="15.75" hidden="1" customHeight="1">
      <c r="A68" s="799">
        <v>8</v>
      </c>
      <c r="B68" s="800" t="s">
        <v>389</v>
      </c>
      <c r="C68" s="808"/>
      <c r="D68" s="804"/>
      <c r="E68" s="634">
        <f t="shared" si="7"/>
        <v>0</v>
      </c>
      <c r="F68" s="615"/>
      <c r="G68" s="615"/>
      <c r="H68" s="615"/>
      <c r="I68" s="634"/>
      <c r="J68" s="634"/>
      <c r="K68" s="615"/>
      <c r="L68" s="634"/>
      <c r="M68" s="634"/>
      <c r="N68" s="615"/>
      <c r="O68" s="793" t="e">
        <f t="shared" si="2"/>
        <v>#DIV/0!</v>
      </c>
      <c r="P68" s="793" t="e">
        <f t="shared" si="3"/>
        <v>#DIV/0!</v>
      </c>
      <c r="Q68" s="725"/>
    </row>
    <row r="69" spans="1:18" ht="15.75" hidden="1" customHeight="1">
      <c r="A69" s="799">
        <v>9</v>
      </c>
      <c r="B69" s="800" t="s">
        <v>390</v>
      </c>
      <c r="C69" s="808"/>
      <c r="D69" s="804"/>
      <c r="E69" s="634">
        <f t="shared" si="7"/>
        <v>0</v>
      </c>
      <c r="F69" s="615"/>
      <c r="G69" s="615"/>
      <c r="H69" s="615"/>
      <c r="I69" s="634"/>
      <c r="J69" s="634"/>
      <c r="K69" s="615"/>
      <c r="L69" s="634"/>
      <c r="M69" s="634"/>
      <c r="N69" s="615"/>
      <c r="O69" s="793" t="e">
        <f t="shared" si="2"/>
        <v>#DIV/0!</v>
      </c>
      <c r="P69" s="793" t="e">
        <f t="shared" si="3"/>
        <v>#DIV/0!</v>
      </c>
      <c r="Q69" s="725"/>
    </row>
    <row r="70" spans="1:18" ht="16.5" hidden="1" customHeight="1">
      <c r="A70" s="799">
        <v>10</v>
      </c>
      <c r="B70" s="800" t="s">
        <v>391</v>
      </c>
      <c r="C70" s="808"/>
      <c r="D70" s="805"/>
      <c r="E70" s="634">
        <f t="shared" si="7"/>
        <v>0</v>
      </c>
      <c r="F70" s="615"/>
      <c r="G70" s="615"/>
      <c r="H70" s="615"/>
      <c r="I70" s="634"/>
      <c r="J70" s="634"/>
      <c r="K70" s="615"/>
      <c r="L70" s="634"/>
      <c r="M70" s="634"/>
      <c r="N70" s="615"/>
      <c r="O70" s="793" t="e">
        <f t="shared" si="2"/>
        <v>#DIV/0!</v>
      </c>
      <c r="P70" s="793" t="e">
        <f t="shared" si="3"/>
        <v>#DIV/0!</v>
      </c>
      <c r="Q70" s="725"/>
    </row>
    <row r="71" spans="1:18" ht="16.5" hidden="1" customHeight="1">
      <c r="A71" s="799">
        <v>11</v>
      </c>
      <c r="B71" s="800" t="s">
        <v>392</v>
      </c>
      <c r="C71" s="808"/>
      <c r="D71" s="804"/>
      <c r="E71" s="634">
        <f>+E72+E73+E74</f>
        <v>0</v>
      </c>
      <c r="F71" s="615">
        <f>+F72+F73+F74</f>
        <v>0</v>
      </c>
      <c r="G71" s="615">
        <f>+G72+G73+G74</f>
        <v>0</v>
      </c>
      <c r="H71" s="615">
        <f>+H72+H73+H74</f>
        <v>0</v>
      </c>
      <c r="I71" s="634">
        <f>+I72+I73+I74</f>
        <v>0</v>
      </c>
      <c r="J71" s="634">
        <f>+J72</f>
        <v>0</v>
      </c>
      <c r="K71" s="615"/>
      <c r="L71" s="634">
        <f>+L72+L73+L74</f>
        <v>0</v>
      </c>
      <c r="M71" s="634">
        <f>+M72</f>
        <v>0</v>
      </c>
      <c r="N71" s="615"/>
      <c r="O71" s="793" t="e">
        <f t="shared" si="2"/>
        <v>#DIV/0!</v>
      </c>
      <c r="P71" s="793" t="e">
        <f t="shared" si="3"/>
        <v>#DIV/0!</v>
      </c>
      <c r="Q71" s="725"/>
    </row>
    <row r="72" spans="1:18" ht="16.5" hidden="1" customHeight="1">
      <c r="A72" s="743" t="s">
        <v>393</v>
      </c>
      <c r="B72" s="744" t="s">
        <v>394</v>
      </c>
      <c r="C72" s="809"/>
      <c r="D72" s="804"/>
      <c r="E72" s="740">
        <f t="shared" ref="E72:E79" si="8">F72+I72+L72</f>
        <v>0</v>
      </c>
      <c r="F72" s="628"/>
      <c r="G72" s="628"/>
      <c r="H72" s="628"/>
      <c r="I72" s="740"/>
      <c r="J72" s="740"/>
      <c r="K72" s="628"/>
      <c r="L72" s="740"/>
      <c r="M72" s="740"/>
      <c r="N72" s="628"/>
      <c r="O72" s="793" t="e">
        <f t="shared" si="2"/>
        <v>#DIV/0!</v>
      </c>
      <c r="P72" s="793" t="e">
        <f t="shared" si="3"/>
        <v>#DIV/0!</v>
      </c>
      <c r="Q72" s="725"/>
    </row>
    <row r="73" spans="1:18" ht="16.5" hidden="1" customHeight="1">
      <c r="A73" s="743" t="s">
        <v>395</v>
      </c>
      <c r="B73" s="744" t="s">
        <v>396</v>
      </c>
      <c r="C73" s="809"/>
      <c r="D73" s="803"/>
      <c r="E73" s="740">
        <f t="shared" si="8"/>
        <v>0</v>
      </c>
      <c r="F73" s="628"/>
      <c r="G73" s="628"/>
      <c r="H73" s="628"/>
      <c r="I73" s="740"/>
      <c r="J73" s="740"/>
      <c r="K73" s="628"/>
      <c r="L73" s="740"/>
      <c r="M73" s="740"/>
      <c r="N73" s="628"/>
      <c r="O73" s="793" t="e">
        <f t="shared" si="2"/>
        <v>#DIV/0!</v>
      </c>
      <c r="P73" s="793" t="e">
        <f t="shared" si="3"/>
        <v>#DIV/0!</v>
      </c>
      <c r="Q73" s="725"/>
    </row>
    <row r="74" spans="1:18" ht="16.5" hidden="1" customHeight="1">
      <c r="A74" s="743" t="s">
        <v>397</v>
      </c>
      <c r="B74" s="744" t="s">
        <v>398</v>
      </c>
      <c r="C74" s="809"/>
      <c r="D74" s="803"/>
      <c r="E74" s="740">
        <f t="shared" si="8"/>
        <v>0</v>
      </c>
      <c r="F74" s="628"/>
      <c r="G74" s="628"/>
      <c r="H74" s="628"/>
      <c r="I74" s="740"/>
      <c r="J74" s="740"/>
      <c r="K74" s="628"/>
      <c r="L74" s="740"/>
      <c r="M74" s="740"/>
      <c r="N74" s="628"/>
      <c r="O74" s="793" t="e">
        <f t="shared" si="2"/>
        <v>#DIV/0!</v>
      </c>
      <c r="P74" s="793" t="e">
        <f t="shared" si="3"/>
        <v>#DIV/0!</v>
      </c>
      <c r="Q74" s="725"/>
    </row>
    <row r="75" spans="1:18" ht="16.5" hidden="1" customHeight="1">
      <c r="A75" s="799">
        <v>12</v>
      </c>
      <c r="B75" s="800" t="s">
        <v>335</v>
      </c>
      <c r="C75" s="808"/>
      <c r="D75" s="804"/>
      <c r="E75" s="634">
        <f t="shared" si="8"/>
        <v>0</v>
      </c>
      <c r="F75" s="615"/>
      <c r="G75" s="615"/>
      <c r="H75" s="615"/>
      <c r="I75" s="634"/>
      <c r="J75" s="634"/>
      <c r="K75" s="615"/>
      <c r="L75" s="634"/>
      <c r="M75" s="634"/>
      <c r="N75" s="615"/>
      <c r="O75" s="793" t="e">
        <f t="shared" si="2"/>
        <v>#DIV/0!</v>
      </c>
      <c r="P75" s="793" t="e">
        <f t="shared" si="3"/>
        <v>#DIV/0!</v>
      </c>
      <c r="Q75" s="725" t="e">
        <f>+E75/"#REF!*100"</f>
        <v>#VALUE!</v>
      </c>
    </row>
    <row r="76" spans="1:18" ht="16.5" hidden="1" customHeight="1">
      <c r="A76" s="799">
        <v>13</v>
      </c>
      <c r="B76" s="800" t="s">
        <v>399</v>
      </c>
      <c r="C76" s="808"/>
      <c r="D76" s="805"/>
      <c r="E76" s="634">
        <f t="shared" si="8"/>
        <v>0</v>
      </c>
      <c r="F76" s="615"/>
      <c r="G76" s="615"/>
      <c r="H76" s="615"/>
      <c r="I76" s="634"/>
      <c r="J76" s="634"/>
      <c r="K76" s="615"/>
      <c r="L76" s="634"/>
      <c r="M76" s="634"/>
      <c r="N76" s="615"/>
      <c r="O76" s="793" t="e">
        <f t="shared" si="2"/>
        <v>#DIV/0!</v>
      </c>
      <c r="P76" s="793" t="e">
        <f t="shared" si="3"/>
        <v>#DIV/0!</v>
      </c>
      <c r="Q76" s="725" t="e">
        <f>+E76/"#REF!*100"</f>
        <v>#VALUE!</v>
      </c>
    </row>
    <row r="77" spans="1:18" s="299" customFormat="1" ht="15" hidden="1" customHeight="1">
      <c r="A77" s="799">
        <v>12</v>
      </c>
      <c r="B77" s="800" t="s">
        <v>369</v>
      </c>
      <c r="C77" s="808"/>
      <c r="D77" s="804"/>
      <c r="E77" s="634">
        <f t="shared" si="8"/>
        <v>0</v>
      </c>
      <c r="F77" s="615"/>
      <c r="G77" s="615"/>
      <c r="H77" s="615"/>
      <c r="I77" s="634"/>
      <c r="J77" s="634"/>
      <c r="K77" s="615"/>
      <c r="L77" s="634"/>
      <c r="M77" s="740"/>
      <c r="N77" s="615"/>
      <c r="O77" s="793" t="e">
        <f t="shared" si="2"/>
        <v>#DIV/0!</v>
      </c>
      <c r="P77" s="793" t="e">
        <f t="shared" si="3"/>
        <v>#DIV/0!</v>
      </c>
      <c r="Q77" s="728" t="e">
        <f>+E77/"#REF!*100"</f>
        <v>#VALUE!</v>
      </c>
    </row>
    <row r="78" spans="1:18" s="299" customFormat="1" ht="17.25" hidden="1" customHeight="1">
      <c r="A78" s="794" t="s">
        <v>130</v>
      </c>
      <c r="B78" s="795" t="s">
        <v>400</v>
      </c>
      <c r="C78" s="797"/>
      <c r="D78" s="802"/>
      <c r="E78" s="793">
        <f t="shared" si="8"/>
        <v>0</v>
      </c>
      <c r="F78" s="608"/>
      <c r="G78" s="608"/>
      <c r="H78" s="608"/>
      <c r="I78" s="793"/>
      <c r="J78" s="793"/>
      <c r="K78" s="608"/>
      <c r="L78" s="793"/>
      <c r="M78" s="793"/>
      <c r="N78" s="608"/>
      <c r="O78" s="793" t="e">
        <f>E78/C78*100</f>
        <v>#DIV/0!</v>
      </c>
      <c r="P78" s="793" t="e">
        <f>E78/D78*100</f>
        <v>#DIV/0!</v>
      </c>
      <c r="Q78" s="728"/>
    </row>
    <row r="79" spans="1:18" s="299" customFormat="1" ht="20.100000000000001" customHeight="1">
      <c r="A79" s="794" t="s">
        <v>401</v>
      </c>
      <c r="B79" s="795" t="s">
        <v>64</v>
      </c>
      <c r="C79" s="797">
        <v>1000</v>
      </c>
      <c r="D79" s="802">
        <v>1000</v>
      </c>
      <c r="E79" s="793">
        <f t="shared" si="8"/>
        <v>1000</v>
      </c>
      <c r="F79" s="608">
        <v>1000</v>
      </c>
      <c r="G79" s="608"/>
      <c r="H79" s="608"/>
      <c r="I79" s="793"/>
      <c r="J79" s="793"/>
      <c r="K79" s="608"/>
      <c r="L79" s="793"/>
      <c r="M79" s="793"/>
      <c r="N79" s="608"/>
      <c r="O79" s="793">
        <f>E79/C79*100</f>
        <v>100</v>
      </c>
      <c r="P79" s="793">
        <f>E79/D79*100</f>
        <v>100</v>
      </c>
      <c r="Q79" s="728"/>
      <c r="R79" s="300"/>
    </row>
    <row r="80" spans="1:18" s="299" customFormat="1" ht="20.100000000000001" customHeight="1">
      <c r="A80" s="794" t="s">
        <v>402</v>
      </c>
      <c r="B80" s="795" t="s">
        <v>403</v>
      </c>
      <c r="C80" s="797">
        <v>140920</v>
      </c>
      <c r="D80" s="802">
        <v>140920</v>
      </c>
      <c r="E80" s="798">
        <v>0</v>
      </c>
      <c r="F80" s="798">
        <v>0</v>
      </c>
      <c r="G80" s="798"/>
      <c r="H80" s="798"/>
      <c r="I80" s="798">
        <v>0</v>
      </c>
      <c r="J80" s="798"/>
      <c r="K80" s="798"/>
      <c r="L80" s="798">
        <v>0</v>
      </c>
      <c r="M80" s="793"/>
      <c r="N80" s="608"/>
      <c r="O80" s="793">
        <f>E80/C80*100</f>
        <v>0</v>
      </c>
      <c r="P80" s="798">
        <f>E80/D80*100</f>
        <v>0</v>
      </c>
      <c r="Q80" s="728"/>
    </row>
    <row r="81" spans="1:20" s="299" customFormat="1" ht="17.25" hidden="1" customHeight="1">
      <c r="A81" s="794" t="s">
        <v>404</v>
      </c>
      <c r="B81" s="795" t="s">
        <v>405</v>
      </c>
      <c r="C81" s="797"/>
      <c r="D81" s="802"/>
      <c r="E81" s="793">
        <f>F81+I81+L81</f>
        <v>0</v>
      </c>
      <c r="F81" s="811"/>
      <c r="G81" s="608"/>
      <c r="H81" s="608"/>
      <c r="I81" s="608"/>
      <c r="J81" s="608"/>
      <c r="K81" s="608"/>
      <c r="L81" s="608"/>
      <c r="M81" s="793"/>
      <c r="N81" s="608"/>
      <c r="O81" s="793"/>
      <c r="P81" s="798"/>
      <c r="Q81" s="728"/>
      <c r="R81" s="299">
        <v>1</v>
      </c>
      <c r="S81" s="299">
        <v>3442.2</v>
      </c>
    </row>
    <row r="82" spans="1:20" s="299" customFormat="1" ht="20.100000000000001" customHeight="1">
      <c r="A82" s="794" t="s">
        <v>404</v>
      </c>
      <c r="B82" s="795" t="s">
        <v>72</v>
      </c>
      <c r="C82" s="797"/>
      <c r="D82" s="798">
        <v>0</v>
      </c>
      <c r="E82" s="793">
        <f>F82+I82+L82</f>
        <v>3170.4630000000002</v>
      </c>
      <c r="F82" s="811">
        <v>2655</v>
      </c>
      <c r="G82" s="608"/>
      <c r="H82" s="608"/>
      <c r="I82" s="608">
        <v>217.46299999999999</v>
      </c>
      <c r="J82" s="608"/>
      <c r="K82" s="608"/>
      <c r="L82" s="608">
        <v>298</v>
      </c>
      <c r="M82" s="793"/>
      <c r="N82" s="608"/>
      <c r="O82" s="793"/>
      <c r="P82" s="798">
        <v>0</v>
      </c>
      <c r="Q82" s="728"/>
    </row>
    <row r="83" spans="1:20" s="299" customFormat="1" ht="20.100000000000001" customHeight="1">
      <c r="A83" s="794" t="s">
        <v>406</v>
      </c>
      <c r="B83" s="795" t="s">
        <v>407</v>
      </c>
      <c r="C83" s="798">
        <v>0</v>
      </c>
      <c r="D83" s="798">
        <v>0</v>
      </c>
      <c r="E83" s="798">
        <v>0</v>
      </c>
      <c r="F83" s="798">
        <v>0</v>
      </c>
      <c r="G83" s="798"/>
      <c r="H83" s="798"/>
      <c r="I83" s="798">
        <v>0</v>
      </c>
      <c r="J83" s="798"/>
      <c r="K83" s="798"/>
      <c r="L83" s="798">
        <v>0</v>
      </c>
      <c r="M83" s="798"/>
      <c r="N83" s="798"/>
      <c r="O83" s="798">
        <v>0</v>
      </c>
      <c r="P83" s="798">
        <v>0</v>
      </c>
      <c r="Q83" s="728" t="e">
        <f>+E83/"#REF!*100"</f>
        <v>#VALUE!</v>
      </c>
      <c r="R83" s="299">
        <v>2</v>
      </c>
      <c r="S83" s="299">
        <v>28281.599999999999</v>
      </c>
      <c r="T83" s="299">
        <v>5205.3999999999996</v>
      </c>
    </row>
    <row r="84" spans="1:20" s="299" customFormat="1" ht="17.25" hidden="1" customHeight="1">
      <c r="A84" s="794" t="s">
        <v>406</v>
      </c>
      <c r="B84" s="795" t="s">
        <v>133</v>
      </c>
      <c r="C84" s="812"/>
      <c r="D84" s="802"/>
      <c r="E84" s="793"/>
      <c r="F84" s="608"/>
      <c r="G84" s="608"/>
      <c r="H84" s="608"/>
      <c r="I84" s="793"/>
      <c r="J84" s="793"/>
      <c r="K84" s="608"/>
      <c r="L84" s="793"/>
      <c r="M84" s="793"/>
      <c r="N84" s="608"/>
      <c r="O84" s="793"/>
      <c r="P84" s="793"/>
      <c r="Q84" s="725" t="e">
        <f>+E84/"#REF!*100"</f>
        <v>#VALUE!</v>
      </c>
      <c r="R84" s="299">
        <v>3</v>
      </c>
      <c r="S84" s="299">
        <v>23653.454000000002</v>
      </c>
    </row>
    <row r="85" spans="1:20" s="299" customFormat="1" ht="20.100000000000001" customHeight="1">
      <c r="A85" s="794" t="s">
        <v>77</v>
      </c>
      <c r="B85" s="795" t="s">
        <v>1331</v>
      </c>
      <c r="C85" s="813">
        <f>+C86+C95</f>
        <v>632462</v>
      </c>
      <c r="D85" s="813">
        <f>+D86+D95</f>
        <v>632462</v>
      </c>
      <c r="E85" s="608">
        <f>F85+I85+L85</f>
        <v>844435.17315899988</v>
      </c>
      <c r="F85" s="608">
        <f>F86+F95</f>
        <v>735330.57128199993</v>
      </c>
      <c r="G85" s="608">
        <f t="shared" ref="G85:N85" si="9">G86+G95</f>
        <v>12289.712349000001</v>
      </c>
      <c r="H85" s="608">
        <f>H86+H95</f>
        <v>723040.85893299989</v>
      </c>
      <c r="I85" s="608">
        <f t="shared" si="9"/>
        <v>18772.600730999999</v>
      </c>
      <c r="J85" s="608">
        <f t="shared" si="9"/>
        <v>6184.9527999999991</v>
      </c>
      <c r="K85" s="608">
        <f t="shared" si="9"/>
        <v>12587.647931</v>
      </c>
      <c r="L85" s="608">
        <f t="shared" si="9"/>
        <v>90332.001145999995</v>
      </c>
      <c r="M85" s="793">
        <f t="shared" si="9"/>
        <v>9460.2830059999997</v>
      </c>
      <c r="N85" s="608">
        <f t="shared" si="9"/>
        <v>80871.718139999997</v>
      </c>
      <c r="O85" s="793">
        <f>E85/C85*100</f>
        <v>133.5155587464543</v>
      </c>
      <c r="P85" s="793">
        <f>E85/D85*100</f>
        <v>133.5155587464543</v>
      </c>
      <c r="Q85" s="725" t="e">
        <f>+E85/"#REF!*100"</f>
        <v>#VALUE!</v>
      </c>
      <c r="R85" s="301">
        <f>+H85+K85+N85</f>
        <v>816500.22500399989</v>
      </c>
      <c r="S85" s="299">
        <v>4914</v>
      </c>
    </row>
    <row r="86" spans="1:20" s="299" customFormat="1" ht="20.100000000000001" customHeight="1">
      <c r="A86" s="799">
        <v>1</v>
      </c>
      <c r="B86" s="800" t="s">
        <v>410</v>
      </c>
      <c r="C86" s="807">
        <f>SUM(C87:C94)</f>
        <v>125042</v>
      </c>
      <c r="D86" s="807">
        <v>125042</v>
      </c>
      <c r="E86" s="634">
        <f t="shared" ref="E86:L86" si="10">SUM(E87:E94)</f>
        <v>121394.314226</v>
      </c>
      <c r="F86" s="615">
        <f t="shared" si="10"/>
        <v>12289.712349000001</v>
      </c>
      <c r="G86" s="615">
        <f t="shared" si="10"/>
        <v>12289.712349000001</v>
      </c>
      <c r="H86" s="615">
        <f>SUM(H87:H94)</f>
        <v>0</v>
      </c>
      <c r="I86" s="634">
        <f t="shared" si="10"/>
        <v>18772.600730999999</v>
      </c>
      <c r="J86" s="634">
        <f t="shared" si="10"/>
        <v>6184.9527999999991</v>
      </c>
      <c r="K86" s="615">
        <f t="shared" si="10"/>
        <v>12587.647931</v>
      </c>
      <c r="L86" s="634">
        <f t="shared" si="10"/>
        <v>90332.001145999995</v>
      </c>
      <c r="M86" s="634">
        <f>SUM(M87:M95)</f>
        <v>9460.2830059999997</v>
      </c>
      <c r="N86" s="615">
        <f>SUM(N87:N95)</f>
        <v>80871.718139999997</v>
      </c>
      <c r="O86" s="793">
        <f>E86/C86*100</f>
        <v>97.082831549399401</v>
      </c>
      <c r="P86" s="793">
        <f>E86/D86*100</f>
        <v>97.082831549399401</v>
      </c>
      <c r="Q86" s="725"/>
      <c r="R86" s="299">
        <v>6</v>
      </c>
      <c r="S86" s="299">
        <v>10200.666999999999</v>
      </c>
    </row>
    <row r="87" spans="1:20" s="302" customFormat="1" ht="20.100000000000001" customHeight="1">
      <c r="A87" s="622" t="s">
        <v>334</v>
      </c>
      <c r="B87" s="621" t="s">
        <v>411</v>
      </c>
      <c r="C87" s="814">
        <v>42142</v>
      </c>
      <c r="D87" s="798">
        <v>0</v>
      </c>
      <c r="E87" s="615">
        <f>+F87+I87+L87</f>
        <v>33027.924440000003</v>
      </c>
      <c r="F87" s="615">
        <f t="shared" ref="F87:F96" si="11">SUM(G87:H87)</f>
        <v>1492.4157520000001</v>
      </c>
      <c r="G87" s="615">
        <v>1492.4157520000001</v>
      </c>
      <c r="H87" s="615"/>
      <c r="I87" s="615">
        <f t="shared" ref="I87:I95" si="12">+J87+K87</f>
        <v>8200.6659309999995</v>
      </c>
      <c r="J87" s="615"/>
      <c r="K87" s="615">
        <v>8200.6659309999995</v>
      </c>
      <c r="L87" s="615">
        <f>SUM(M87:N87)</f>
        <v>23334.842756999999</v>
      </c>
      <c r="M87" s="615">
        <v>7042.1062000000002</v>
      </c>
      <c r="N87" s="615">
        <v>16292.736557</v>
      </c>
      <c r="O87" s="793">
        <f>E87/C87*100</f>
        <v>78.372940154715025</v>
      </c>
      <c r="P87" s="798">
        <v>0</v>
      </c>
      <c r="Q87" s="725" t="e">
        <f>+E87/"#REF!*100"</f>
        <v>#VALUE!</v>
      </c>
      <c r="R87" s="302">
        <v>7</v>
      </c>
      <c r="S87" s="302">
        <v>19743.741000000002</v>
      </c>
      <c r="T87" s="302">
        <v>472.26600000000002</v>
      </c>
    </row>
    <row r="88" spans="1:20" s="299" customFormat="1" ht="20.100000000000001" customHeight="1">
      <c r="A88" s="799" t="s">
        <v>336</v>
      </c>
      <c r="B88" s="800" t="s">
        <v>412</v>
      </c>
      <c r="C88" s="815">
        <v>82900</v>
      </c>
      <c r="D88" s="798">
        <v>0</v>
      </c>
      <c r="E88" s="634">
        <f>+F88+I88+L88</f>
        <v>86257.847989000002</v>
      </c>
      <c r="F88" s="615">
        <f t="shared" si="11"/>
        <v>8994.1803</v>
      </c>
      <c r="G88" s="615">
        <v>8994.1803</v>
      </c>
      <c r="H88" s="615"/>
      <c r="I88" s="634">
        <f t="shared" si="12"/>
        <v>10266.5093</v>
      </c>
      <c r="J88" s="634">
        <v>5879.5272999999997</v>
      </c>
      <c r="K88" s="615">
        <v>4386.982</v>
      </c>
      <c r="L88" s="634">
        <f>SUM(M88:N88)</f>
        <v>66997.158389000004</v>
      </c>
      <c r="M88" s="634">
        <v>2418.1768059999999</v>
      </c>
      <c r="N88" s="615">
        <v>64578.981583000001</v>
      </c>
      <c r="O88" s="793">
        <f>E88/C88*100</f>
        <v>104.05048008323281</v>
      </c>
      <c r="P88" s="798">
        <v>0</v>
      </c>
      <c r="Q88" s="725"/>
    </row>
    <row r="89" spans="1:20" s="299" customFormat="1" ht="20.100000000000001" customHeight="1">
      <c r="A89" s="799" t="s">
        <v>338</v>
      </c>
      <c r="B89" s="800" t="s">
        <v>413</v>
      </c>
      <c r="C89" s="798">
        <v>0</v>
      </c>
      <c r="D89" s="798">
        <v>0</v>
      </c>
      <c r="E89" s="634">
        <f t="shared" ref="E89:E94" si="13">+F89+I89+L89</f>
        <v>427.75749999999999</v>
      </c>
      <c r="F89" s="615">
        <f t="shared" si="11"/>
        <v>174.37899999999999</v>
      </c>
      <c r="G89" s="615">
        <v>174.37899999999999</v>
      </c>
      <c r="H89" s="615"/>
      <c r="I89" s="634">
        <f t="shared" si="12"/>
        <v>253.3785</v>
      </c>
      <c r="J89" s="634">
        <v>253.3785</v>
      </c>
      <c r="K89" s="615"/>
      <c r="L89" s="634">
        <f t="shared" ref="L89:L94" si="14">SUM(M89:N89)</f>
        <v>0</v>
      </c>
      <c r="M89" s="634"/>
      <c r="N89" s="615"/>
      <c r="O89" s="798">
        <v>0</v>
      </c>
      <c r="P89" s="798">
        <v>0</v>
      </c>
      <c r="Q89" s="725"/>
    </row>
    <row r="90" spans="1:20" s="302" customFormat="1" ht="20.100000000000001" customHeight="1">
      <c r="A90" s="622" t="s">
        <v>340</v>
      </c>
      <c r="B90" s="816" t="s">
        <v>414</v>
      </c>
      <c r="C90" s="798">
        <v>0</v>
      </c>
      <c r="D90" s="798">
        <v>0</v>
      </c>
      <c r="E90" s="615">
        <f t="shared" si="13"/>
        <v>43.848316999999994</v>
      </c>
      <c r="F90" s="615">
        <f t="shared" si="11"/>
        <v>43.243316999999998</v>
      </c>
      <c r="G90" s="615">
        <v>43.243316999999998</v>
      </c>
      <c r="H90" s="615"/>
      <c r="I90" s="615">
        <f t="shared" si="12"/>
        <v>0.60499999999999998</v>
      </c>
      <c r="J90" s="615">
        <v>0.60499999999999998</v>
      </c>
      <c r="K90" s="615"/>
      <c r="L90" s="615">
        <f t="shared" si="14"/>
        <v>0</v>
      </c>
      <c r="M90" s="615"/>
      <c r="N90" s="615"/>
      <c r="O90" s="798">
        <v>0</v>
      </c>
      <c r="P90" s="798">
        <v>0</v>
      </c>
      <c r="Q90" s="725"/>
    </row>
    <row r="91" spans="1:20" s="299" customFormat="1" ht="20.100000000000001" customHeight="1">
      <c r="A91" s="799" t="s">
        <v>344</v>
      </c>
      <c r="B91" s="817" t="s">
        <v>415</v>
      </c>
      <c r="C91" s="798">
        <v>0</v>
      </c>
      <c r="D91" s="798">
        <v>0</v>
      </c>
      <c r="E91" s="634">
        <f t="shared" si="13"/>
        <v>10.435</v>
      </c>
      <c r="F91" s="615">
        <f t="shared" si="11"/>
        <v>10.435</v>
      </c>
      <c r="G91" s="615">
        <v>10.435</v>
      </c>
      <c r="H91" s="615"/>
      <c r="I91" s="818">
        <f t="shared" si="12"/>
        <v>0</v>
      </c>
      <c r="J91" s="818"/>
      <c r="K91" s="616"/>
      <c r="L91" s="818">
        <f>SUM(M91:N91)</f>
        <v>0</v>
      </c>
      <c r="M91" s="634"/>
      <c r="N91" s="615"/>
      <c r="O91" s="798">
        <v>0</v>
      </c>
      <c r="P91" s="798">
        <v>0</v>
      </c>
      <c r="Q91" s="725"/>
    </row>
    <row r="92" spans="1:20" s="299" customFormat="1" ht="20.100000000000001" customHeight="1">
      <c r="A92" s="799" t="s">
        <v>348</v>
      </c>
      <c r="B92" s="817" t="s">
        <v>416</v>
      </c>
      <c r="C92" s="798">
        <v>0</v>
      </c>
      <c r="D92" s="798">
        <v>0</v>
      </c>
      <c r="E92" s="634">
        <f>+F92+I92+L92</f>
        <v>1575.05898</v>
      </c>
      <c r="F92" s="615">
        <f t="shared" si="11"/>
        <v>1575.05898</v>
      </c>
      <c r="G92" s="615">
        <v>1575.05898</v>
      </c>
      <c r="H92" s="615"/>
      <c r="I92" s="818">
        <f t="shared" si="12"/>
        <v>0</v>
      </c>
      <c r="J92" s="818"/>
      <c r="K92" s="616"/>
      <c r="L92" s="818">
        <f t="shared" si="14"/>
        <v>0</v>
      </c>
      <c r="M92" s="634"/>
      <c r="N92" s="615"/>
      <c r="O92" s="798">
        <v>0</v>
      </c>
      <c r="P92" s="798">
        <v>0</v>
      </c>
      <c r="Q92" s="725"/>
    </row>
    <row r="93" spans="1:20" s="299" customFormat="1" ht="20.100000000000001" customHeight="1">
      <c r="A93" s="799" t="s">
        <v>350</v>
      </c>
      <c r="B93" s="817" t="s">
        <v>417</v>
      </c>
      <c r="C93" s="798">
        <v>0</v>
      </c>
      <c r="D93" s="798">
        <v>0</v>
      </c>
      <c r="E93" s="634">
        <f t="shared" si="13"/>
        <v>16.635999999999999</v>
      </c>
      <c r="F93" s="615">
        <f t="shared" si="11"/>
        <v>0</v>
      </c>
      <c r="G93" s="615"/>
      <c r="H93" s="615"/>
      <c r="I93" s="634">
        <f t="shared" si="12"/>
        <v>16.635999999999999</v>
      </c>
      <c r="J93" s="634">
        <v>16.635999999999999</v>
      </c>
      <c r="K93" s="615"/>
      <c r="L93" s="818">
        <f t="shared" si="14"/>
        <v>0</v>
      </c>
      <c r="M93" s="634"/>
      <c r="N93" s="615"/>
      <c r="O93" s="798">
        <v>0</v>
      </c>
      <c r="P93" s="798">
        <v>0</v>
      </c>
      <c r="Q93" s="725"/>
    </row>
    <row r="94" spans="1:20" s="299" customFormat="1" ht="20.100000000000001" customHeight="1">
      <c r="A94" s="799" t="s">
        <v>352</v>
      </c>
      <c r="B94" s="817" t="s">
        <v>418</v>
      </c>
      <c r="C94" s="798">
        <v>0</v>
      </c>
      <c r="D94" s="798">
        <v>0</v>
      </c>
      <c r="E94" s="634">
        <f t="shared" si="13"/>
        <v>34.805999999999997</v>
      </c>
      <c r="F94" s="615">
        <f t="shared" si="11"/>
        <v>0</v>
      </c>
      <c r="G94" s="615"/>
      <c r="H94" s="615"/>
      <c r="I94" s="634">
        <f t="shared" si="12"/>
        <v>34.805999999999997</v>
      </c>
      <c r="J94" s="634">
        <v>34.805999999999997</v>
      </c>
      <c r="K94" s="615"/>
      <c r="L94" s="818">
        <f t="shared" si="14"/>
        <v>0</v>
      </c>
      <c r="M94" s="634"/>
      <c r="N94" s="615"/>
      <c r="O94" s="798">
        <v>0</v>
      </c>
      <c r="P94" s="798">
        <v>0</v>
      </c>
      <c r="Q94" s="725"/>
    </row>
    <row r="95" spans="1:20" s="302" customFormat="1" ht="20.100000000000001" customHeight="1">
      <c r="A95" s="622">
        <v>2</v>
      </c>
      <c r="B95" s="621" t="s">
        <v>419</v>
      </c>
      <c r="C95" s="814">
        <v>507420</v>
      </c>
      <c r="D95" s="677">
        <v>507420</v>
      </c>
      <c r="E95" s="615">
        <f>F95+I95+L95</f>
        <v>723040.85893299989</v>
      </c>
      <c r="F95" s="615">
        <f>SUM(G95:H95)</f>
        <v>723040.85893299989</v>
      </c>
      <c r="G95" s="615">
        <f>+G96</f>
        <v>0</v>
      </c>
      <c r="H95" s="615">
        <f>185340.801093+H96</f>
        <v>723040.85893299989</v>
      </c>
      <c r="I95" s="615">
        <f t="shared" si="12"/>
        <v>0</v>
      </c>
      <c r="J95" s="615"/>
      <c r="K95" s="615"/>
      <c r="L95" s="615">
        <f>+M95+N95</f>
        <v>0</v>
      </c>
      <c r="M95" s="615"/>
      <c r="N95" s="615"/>
      <c r="O95" s="819">
        <v>0</v>
      </c>
      <c r="P95" s="819">
        <v>0</v>
      </c>
      <c r="Q95" s="725" t="e">
        <f>+E95/"#REF!*100"</f>
        <v>#VALUE!</v>
      </c>
      <c r="R95" s="416">
        <f>+H95+F96</f>
        <v>1260740.9167729998</v>
      </c>
    </row>
    <row r="96" spans="1:20" s="116" customFormat="1" ht="20.100000000000001" customHeight="1">
      <c r="A96" s="622"/>
      <c r="B96" s="820" t="s">
        <v>1444</v>
      </c>
      <c r="C96" s="627"/>
      <c r="D96" s="681"/>
      <c r="E96" s="628">
        <f>+F96</f>
        <v>537700.05783999991</v>
      </c>
      <c r="F96" s="628">
        <f t="shared" si="11"/>
        <v>537700.05783999991</v>
      </c>
      <c r="G96" s="628"/>
      <c r="H96" s="628">
        <f>24307.095858+143489.177159+3023.028+366880.756823</f>
        <v>537700.05783999991</v>
      </c>
      <c r="I96" s="628"/>
      <c r="J96" s="628"/>
      <c r="K96" s="628"/>
      <c r="L96" s="628"/>
      <c r="M96" s="628"/>
      <c r="N96" s="628"/>
      <c r="O96" s="819">
        <v>0</v>
      </c>
      <c r="P96" s="819">
        <v>0</v>
      </c>
      <c r="Q96" s="729"/>
    </row>
    <row r="97" spans="1:20" ht="15" hidden="1" customHeight="1">
      <c r="A97" s="794" t="s">
        <v>77</v>
      </c>
      <c r="B97" s="795" t="s">
        <v>420</v>
      </c>
      <c r="C97" s="808">
        <f>+C98+C99</f>
        <v>0</v>
      </c>
      <c r="D97" s="808">
        <f>+D98+D99</f>
        <v>0</v>
      </c>
      <c r="E97" s="793">
        <f>F97+I97+L97</f>
        <v>0</v>
      </c>
      <c r="F97" s="608">
        <f>+F98+F99</f>
        <v>0</v>
      </c>
      <c r="G97" s="608">
        <f t="shared" ref="G97:M97" si="15">+G98+G99</f>
        <v>0</v>
      </c>
      <c r="H97" s="608">
        <f t="shared" si="15"/>
        <v>0</v>
      </c>
      <c r="I97" s="793">
        <f>+I98+I99</f>
        <v>0</v>
      </c>
      <c r="J97" s="793">
        <f t="shared" si="15"/>
        <v>0</v>
      </c>
      <c r="K97" s="608">
        <f t="shared" si="15"/>
        <v>0</v>
      </c>
      <c r="L97" s="793">
        <f t="shared" si="15"/>
        <v>0</v>
      </c>
      <c r="M97" s="793">
        <f t="shared" si="15"/>
        <v>0</v>
      </c>
      <c r="N97" s="608"/>
      <c r="O97" s="798">
        <v>0</v>
      </c>
      <c r="P97" s="798">
        <v>0</v>
      </c>
      <c r="Q97" s="730" t="e">
        <f>+E97/"#REF!*100"</f>
        <v>#VALUE!</v>
      </c>
    </row>
    <row r="98" spans="1:20" ht="15" hidden="1" customHeight="1">
      <c r="A98" s="799">
        <v>1</v>
      </c>
      <c r="B98" s="800" t="s">
        <v>421</v>
      </c>
      <c r="C98" s="808">
        <v>0</v>
      </c>
      <c r="D98" s="808">
        <v>0</v>
      </c>
      <c r="E98" s="634">
        <f>F98+I98+L98</f>
        <v>0</v>
      </c>
      <c r="F98" s="615"/>
      <c r="G98" s="615"/>
      <c r="H98" s="615"/>
      <c r="I98" s="634"/>
      <c r="J98" s="634"/>
      <c r="K98" s="615"/>
      <c r="L98" s="634"/>
      <c r="M98" s="634"/>
      <c r="N98" s="615"/>
      <c r="O98" s="798">
        <v>0</v>
      </c>
      <c r="P98" s="798">
        <v>0</v>
      </c>
      <c r="Q98" s="730" t="e">
        <f>+E98/"#REF!*100"</f>
        <v>#VALUE!</v>
      </c>
      <c r="R98" s="105">
        <v>59416</v>
      </c>
    </row>
    <row r="99" spans="1:20" ht="15.75" hidden="1" customHeight="1">
      <c r="A99" s="799">
        <v>2</v>
      </c>
      <c r="B99" s="800" t="s">
        <v>422</v>
      </c>
      <c r="C99" s="808">
        <f>+C100+C101</f>
        <v>0</v>
      </c>
      <c r="D99" s="808">
        <f>+D100+D101</f>
        <v>0</v>
      </c>
      <c r="E99" s="634">
        <f>F99+I99+L99</f>
        <v>0</v>
      </c>
      <c r="F99" s="615">
        <f>+F100+F101</f>
        <v>0</v>
      </c>
      <c r="G99" s="615"/>
      <c r="H99" s="615"/>
      <c r="I99" s="615">
        <f>+I100+I101</f>
        <v>0</v>
      </c>
      <c r="J99" s="634"/>
      <c r="K99" s="615"/>
      <c r="L99" s="615">
        <f>+L100+L101</f>
        <v>0</v>
      </c>
      <c r="M99" s="634"/>
      <c r="N99" s="615"/>
      <c r="O99" s="798">
        <v>0</v>
      </c>
      <c r="P99" s="798">
        <v>0</v>
      </c>
      <c r="Q99" s="730"/>
      <c r="R99" s="105">
        <v>305464</v>
      </c>
    </row>
    <row r="100" spans="1:20" ht="15.75" hidden="1" customHeight="1">
      <c r="A100" s="799" t="s">
        <v>372</v>
      </c>
      <c r="B100" s="800" t="s">
        <v>423</v>
      </c>
      <c r="C100" s="808">
        <v>0</v>
      </c>
      <c r="D100" s="808">
        <v>0</v>
      </c>
      <c r="E100" s="634">
        <f>F100+I100+L100</f>
        <v>0</v>
      </c>
      <c r="F100" s="615"/>
      <c r="G100" s="615"/>
      <c r="H100" s="615"/>
      <c r="I100" s="634"/>
      <c r="J100" s="634"/>
      <c r="K100" s="615"/>
      <c r="L100" s="634"/>
      <c r="M100" s="634"/>
      <c r="N100" s="615"/>
      <c r="O100" s="798">
        <v>0</v>
      </c>
      <c r="P100" s="798">
        <v>0</v>
      </c>
      <c r="Q100" s="310"/>
      <c r="R100" s="105">
        <v>329401</v>
      </c>
    </row>
    <row r="101" spans="1:20" ht="14.25" hidden="1" customHeight="1">
      <c r="A101" s="799" t="s">
        <v>374</v>
      </c>
      <c r="B101" s="800" t="s">
        <v>424</v>
      </c>
      <c r="C101" s="808">
        <v>0</v>
      </c>
      <c r="D101" s="808">
        <v>0</v>
      </c>
      <c r="E101" s="634"/>
      <c r="F101" s="615"/>
      <c r="G101" s="615"/>
      <c r="H101" s="615"/>
      <c r="I101" s="634"/>
      <c r="J101" s="634"/>
      <c r="K101" s="615"/>
      <c r="L101" s="634"/>
      <c r="M101" s="634"/>
      <c r="N101" s="615"/>
      <c r="O101" s="798">
        <v>0</v>
      </c>
      <c r="P101" s="798">
        <v>0</v>
      </c>
      <c r="Q101" s="311"/>
      <c r="R101" s="105">
        <v>1066621.519964</v>
      </c>
      <c r="S101" s="106">
        <f>+F100-R101</f>
        <v>-1066621.519964</v>
      </c>
      <c r="T101" s="105">
        <f>+R100+R99</f>
        <v>634865</v>
      </c>
    </row>
    <row r="102" spans="1:20" s="118" customFormat="1" ht="20.100000000000001" customHeight="1">
      <c r="A102" s="794" t="s">
        <v>141</v>
      </c>
      <c r="B102" s="795" t="s">
        <v>1334</v>
      </c>
      <c r="C102" s="808">
        <v>0</v>
      </c>
      <c r="D102" s="808">
        <v>0</v>
      </c>
      <c r="E102" s="793">
        <f>F102+I102+L102</f>
        <v>1076220.2512020001</v>
      </c>
      <c r="F102" s="608">
        <v>868431.32582499995</v>
      </c>
      <c r="G102" s="608"/>
      <c r="H102" s="608"/>
      <c r="I102" s="793">
        <v>168512.56127999999</v>
      </c>
      <c r="J102" s="793"/>
      <c r="K102" s="608"/>
      <c r="L102" s="793">
        <v>39276.364096999998</v>
      </c>
      <c r="M102" s="793"/>
      <c r="N102" s="608"/>
      <c r="O102" s="798">
        <v>0</v>
      </c>
      <c r="P102" s="798">
        <v>0</v>
      </c>
      <c r="Q102" s="312"/>
    </row>
    <row r="103" spans="1:20" s="120" customFormat="1" ht="17.25" hidden="1" customHeight="1">
      <c r="A103" s="731"/>
      <c r="B103" s="732" t="s">
        <v>426</v>
      </c>
      <c r="C103" s="733">
        <f>+C11+C100</f>
        <v>7490070</v>
      </c>
      <c r="D103" s="734">
        <f>+D11+D97</f>
        <v>7333828</v>
      </c>
      <c r="E103" s="735">
        <f>+F103+I103+L103</f>
        <v>8768990.3330149986</v>
      </c>
      <c r="F103" s="736">
        <f>F11+F97+F102</f>
        <v>4467642.6153239999</v>
      </c>
      <c r="G103" s="736">
        <f>+G97+G11</f>
        <v>0</v>
      </c>
      <c r="H103" s="736">
        <f>+H97+H11</f>
        <v>0</v>
      </c>
      <c r="I103" s="736">
        <f>I11+I97+I102</f>
        <v>3417382.4476139997</v>
      </c>
      <c r="J103" s="736">
        <f>+J97+J11</f>
        <v>0</v>
      </c>
      <c r="K103" s="736">
        <f>+K97+K11</f>
        <v>0</v>
      </c>
      <c r="L103" s="736">
        <f>L11+L97+L102</f>
        <v>883965.27007699991</v>
      </c>
      <c r="M103" s="735"/>
      <c r="N103" s="736"/>
      <c r="O103" s="735">
        <f>E103/C103*100</f>
        <v>117.07487824566391</v>
      </c>
      <c r="P103" s="735">
        <f>E103/D103*100</f>
        <v>119.56907542711663</v>
      </c>
      <c r="Q103" s="121"/>
      <c r="R103" s="120">
        <v>976937</v>
      </c>
      <c r="S103" s="313">
        <f>+L103-R103</f>
        <v>-92971.729923000094</v>
      </c>
    </row>
    <row r="104" spans="1:20" s="120" customFormat="1" ht="16.5" customHeight="1">
      <c r="A104" s="314"/>
      <c r="B104" s="315"/>
      <c r="C104" s="316"/>
      <c r="D104" s="317"/>
      <c r="E104" s="316"/>
      <c r="F104" s="318"/>
      <c r="G104" s="318"/>
      <c r="H104" s="318"/>
      <c r="I104" s="318"/>
      <c r="J104" s="318"/>
      <c r="K104" s="318"/>
      <c r="L104" s="318"/>
      <c r="M104" s="318"/>
      <c r="N104" s="318"/>
      <c r="O104" s="316"/>
      <c r="P104" s="316"/>
      <c r="Q104" s="121"/>
    </row>
    <row r="105" spans="1:20" s="120" customFormat="1" ht="16.5">
      <c r="A105" s="319"/>
      <c r="B105" s="320"/>
      <c r="C105" s="1002"/>
      <c r="D105" s="1002"/>
      <c r="E105" s="1002"/>
      <c r="F105" s="1002"/>
      <c r="G105" s="321"/>
      <c r="H105" s="410"/>
      <c r="I105" s="1003"/>
      <c r="J105" s="1003"/>
      <c r="K105" s="1003"/>
      <c r="L105" s="1003"/>
      <c r="M105" s="1003"/>
      <c r="N105" s="1003"/>
      <c r="O105" s="1003"/>
      <c r="P105" s="1003"/>
      <c r="Q105" s="121"/>
      <c r="R105" s="120">
        <v>27908468835</v>
      </c>
    </row>
    <row r="106" spans="1:20" s="120" customFormat="1" ht="16.5" hidden="1">
      <c r="A106" s="319"/>
      <c r="B106" s="322"/>
      <c r="C106" s="1008"/>
      <c r="D106" s="1008"/>
      <c r="E106" s="1008"/>
      <c r="F106" s="1008"/>
      <c r="G106" s="321"/>
      <c r="H106" s="321"/>
      <c r="I106" s="1000"/>
      <c r="J106" s="1000"/>
      <c r="K106" s="1000"/>
      <c r="L106" s="1000"/>
      <c r="M106" s="1000"/>
      <c r="N106" s="1000"/>
      <c r="O106" s="1000"/>
      <c r="P106" s="1000"/>
      <c r="Q106" s="121"/>
    </row>
    <row r="107" spans="1:20" s="120" customFormat="1" ht="16.5" hidden="1">
      <c r="A107" s="319"/>
      <c r="B107" s="322"/>
      <c r="C107" s="323"/>
      <c r="D107" s="324"/>
      <c r="E107" s="323"/>
      <c r="F107" s="553"/>
      <c r="G107" s="410"/>
      <c r="H107" s="410"/>
      <c r="I107" s="1000"/>
      <c r="J107" s="1000"/>
      <c r="K107" s="1000"/>
      <c r="L107" s="1000"/>
      <c r="M107" s="1000"/>
      <c r="N107" s="1000"/>
      <c r="O107" s="1000"/>
      <c r="P107" s="1000"/>
      <c r="Q107" s="121"/>
    </row>
    <row r="108" spans="1:20" s="120" customFormat="1" ht="22.5" hidden="1" customHeight="1">
      <c r="A108" s="314"/>
      <c r="B108" s="315"/>
      <c r="C108" s="316"/>
      <c r="D108" s="317"/>
      <c r="E108" s="553">
        <f>F103-F108</f>
        <v>-3396727.7654210003</v>
      </c>
      <c r="F108" s="553">
        <v>7864370.3807450002</v>
      </c>
      <c r="G108" s="318"/>
      <c r="H108" s="410">
        <v>185340801093</v>
      </c>
      <c r="I108" s="318">
        <v>4308035.3378630001</v>
      </c>
      <c r="J108" s="318"/>
      <c r="K108" s="318"/>
      <c r="L108" s="318">
        <v>974297.27122300002</v>
      </c>
      <c r="M108" s="318"/>
      <c r="N108" s="318"/>
      <c r="O108" s="316"/>
      <c r="P108" s="316"/>
      <c r="Q108" s="121"/>
    </row>
    <row r="109" spans="1:20" ht="16.5" hidden="1">
      <c r="B109" s="121"/>
      <c r="C109" s="128"/>
      <c r="D109" s="325">
        <v>50000</v>
      </c>
      <c r="E109" s="489">
        <f>F108+I108+L108</f>
        <v>13146702.989830999</v>
      </c>
      <c r="F109" s="326">
        <v>7864370.3807450002</v>
      </c>
      <c r="G109" s="327"/>
      <c r="H109" s="328"/>
      <c r="I109" s="488">
        <f>I103-I108</f>
        <v>-890652.8902490004</v>
      </c>
      <c r="J109" s="121"/>
      <c r="K109" s="329"/>
      <c r="L109" s="488">
        <f>L103-L108</f>
        <v>-90332.001146000111</v>
      </c>
      <c r="M109" s="121"/>
      <c r="N109" s="329"/>
      <c r="O109" s="121"/>
      <c r="P109" s="121"/>
      <c r="Q109" s="126"/>
      <c r="R109" s="106">
        <f>+I103-4082433</f>
        <v>-665050.55238600029</v>
      </c>
    </row>
    <row r="110" spans="1:20" hidden="1">
      <c r="B110" s="125"/>
      <c r="C110" s="121"/>
      <c r="D110" s="126"/>
      <c r="E110" s="106">
        <f>E103-E109</f>
        <v>-4377712.6568160001</v>
      </c>
      <c r="F110" s="330">
        <f>+F108-F109</f>
        <v>0</v>
      </c>
      <c r="G110" s="331"/>
      <c r="H110" s="331"/>
      <c r="I110" s="127"/>
      <c r="J110" s="125"/>
      <c r="K110" s="332"/>
      <c r="L110" s="126"/>
      <c r="M110" s="125"/>
      <c r="N110" s="332"/>
      <c r="O110" s="125"/>
      <c r="P110" s="125"/>
    </row>
    <row r="111" spans="1:20" ht="15" hidden="1" customHeight="1">
      <c r="E111" s="119"/>
      <c r="F111" s="333">
        <f>+F103-F108</f>
        <v>-3396727.7654210003</v>
      </c>
      <c r="G111" s="333"/>
      <c r="H111" s="333"/>
      <c r="I111" s="126"/>
      <c r="J111" s="126"/>
      <c r="K111" s="334"/>
      <c r="L111" s="126"/>
      <c r="M111" s="126"/>
      <c r="N111" s="334"/>
      <c r="O111" s="126"/>
      <c r="P111" s="126"/>
    </row>
    <row r="112" spans="1:20" hidden="1">
      <c r="B112" s="105">
        <v>24410802252</v>
      </c>
      <c r="E112" s="335">
        <f>E110-F81</f>
        <v>-4377712.6568160001</v>
      </c>
      <c r="F112" s="333"/>
      <c r="R112" s="105">
        <v>12779306.801867999</v>
      </c>
    </row>
    <row r="113" spans="1:20" hidden="1">
      <c r="D113" s="129">
        <f>+D103+50000</f>
        <v>7383828</v>
      </c>
      <c r="E113" s="119">
        <f>'TH THU_61_342_50_31'!D8-F113</f>
        <v>14258679.493396001</v>
      </c>
      <c r="F113" s="336">
        <f>+'TH THU_61_342_50_31'!E8</f>
        <v>323276.280585</v>
      </c>
      <c r="L113" s="106"/>
      <c r="R113" s="106">
        <f>+E103-R112</f>
        <v>-4010316.4688530006</v>
      </c>
    </row>
    <row r="114" spans="1:20" hidden="1">
      <c r="E114" s="106">
        <f>E113-E103</f>
        <v>5489689.1603810024</v>
      </c>
      <c r="K114" s="336"/>
      <c r="L114" s="106"/>
    </row>
    <row r="115" spans="1:20" hidden="1">
      <c r="F115" s="336"/>
      <c r="I115" s="106"/>
    </row>
    <row r="116" spans="1:20" hidden="1">
      <c r="F116" s="336"/>
    </row>
    <row r="117" spans="1:20" hidden="1">
      <c r="F117" s="336"/>
      <c r="I117" s="106"/>
    </row>
    <row r="118" spans="1:20" s="116" customFormat="1" hidden="1">
      <c r="A118" s="105"/>
      <c r="B118" s="105"/>
      <c r="C118" s="105"/>
      <c r="D118" s="129"/>
      <c r="E118" s="105"/>
      <c r="F118" s="336"/>
      <c r="I118" s="105"/>
      <c r="J118" s="105"/>
      <c r="L118" s="105"/>
      <c r="M118" s="105"/>
      <c r="O118" s="105"/>
      <c r="P118" s="105"/>
      <c r="Q118" s="105"/>
      <c r="R118" s="105"/>
      <c r="S118" s="105"/>
      <c r="T118" s="105"/>
    </row>
    <row r="119" spans="1:20" hidden="1"/>
    <row r="120" spans="1:20" hidden="1"/>
    <row r="121" spans="1:20" hidden="1"/>
    <row r="122" spans="1:20" s="116" customFormat="1" hidden="1">
      <c r="A122" s="105"/>
      <c r="B122" s="106">
        <v>123456789</v>
      </c>
      <c r="C122" s="105"/>
      <c r="D122" s="129"/>
      <c r="E122" s="105"/>
      <c r="I122" s="105"/>
      <c r="J122" s="105"/>
      <c r="L122" s="105"/>
      <c r="M122" s="105"/>
      <c r="O122" s="105"/>
      <c r="P122" s="105"/>
      <c r="Q122" s="105"/>
      <c r="R122" s="105"/>
      <c r="S122" s="105"/>
      <c r="T122" s="105"/>
    </row>
    <row r="123" spans="1:20" hidden="1"/>
    <row r="124" spans="1:20" hidden="1"/>
  </sheetData>
  <sheetProtection selectLockedCells="1" selectUnlockedCells="1"/>
  <mergeCells count="10">
    <mergeCell ref="I107:P107"/>
    <mergeCell ref="C8:D8"/>
    <mergeCell ref="C105:F105"/>
    <mergeCell ref="I105:P105"/>
    <mergeCell ref="E1:P1"/>
    <mergeCell ref="A4:P4"/>
    <mergeCell ref="A5:P5"/>
    <mergeCell ref="E7:P7"/>
    <mergeCell ref="C106:F106"/>
    <mergeCell ref="I106:P106"/>
  </mergeCells>
  <printOptions horizontalCentered="1"/>
  <pageMargins left="0.19685039370078741" right="0.19685039370078741" top="0.59055118110236227" bottom="0.59055118110236227" header="0" footer="0.19685039370078741"/>
  <pageSetup paperSize="9" firstPageNumber="0" orientation="portrait" r:id="rId1"/>
  <headerFooter differentFirst="1" alignWithMargins="0">
    <oddFooter>&amp;C&amp;"Times New Roman,Regular"&amp;12&amp;P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4"/>
  <sheetViews>
    <sheetView zoomScale="190" zoomScaleNormal="190" workbookViewId="0">
      <selection activeCell="E51" sqref="E51"/>
    </sheetView>
  </sheetViews>
  <sheetFormatPr defaultRowHeight="15.75"/>
  <cols>
    <col min="1" max="1" width="4.85546875" style="105" customWidth="1"/>
    <col min="2" max="2" width="44.28515625" style="105" customWidth="1"/>
    <col min="3" max="3" width="12.140625" style="105" hidden="1" customWidth="1"/>
    <col min="4" max="4" width="10.5703125" style="105" customWidth="1"/>
    <col min="5" max="5" width="12.5703125" style="106" customWidth="1"/>
    <col min="6" max="6" width="10.140625" style="105" customWidth="1"/>
    <col min="7" max="7" width="14" style="105" customWidth="1"/>
    <col min="8" max="8" width="17.28515625" style="105" hidden="1" customWidth="1"/>
    <col min="9" max="9" width="23.42578125" style="105" hidden="1" customWidth="1"/>
    <col min="10" max="10" width="20.7109375" style="105" hidden="1" customWidth="1"/>
    <col min="11" max="11" width="0" style="105" hidden="1" customWidth="1"/>
    <col min="12" max="16384" width="9.140625" style="105"/>
  </cols>
  <sheetData>
    <row r="1" spans="1:10" s="588" customFormat="1" ht="17.100000000000001" customHeight="1">
      <c r="A1" s="645" t="s">
        <v>1591</v>
      </c>
      <c r="E1" s="589"/>
      <c r="F1" s="1011" t="s">
        <v>1356</v>
      </c>
      <c r="G1" s="1011"/>
      <c r="H1" s="590"/>
    </row>
    <row r="2" spans="1:10" s="588" customFormat="1" ht="17.100000000000001" customHeight="1">
      <c r="A2" s="645" t="s">
        <v>1592</v>
      </c>
      <c r="E2" s="589"/>
      <c r="F2" s="591"/>
      <c r="G2" s="591"/>
      <c r="H2" s="590"/>
    </row>
    <row r="3" spans="1:10" ht="19.5" customHeight="1">
      <c r="F3" s="586"/>
      <c r="G3" s="586"/>
      <c r="H3" s="483"/>
    </row>
    <row r="4" spans="1:10" ht="21" customHeight="1">
      <c r="A4" s="1005" t="s">
        <v>93</v>
      </c>
      <c r="B4" s="1005"/>
      <c r="C4" s="1005"/>
      <c r="D4" s="1005"/>
      <c r="E4" s="1005"/>
      <c r="F4" s="1005"/>
      <c r="G4" s="1005"/>
      <c r="H4" s="563"/>
    </row>
    <row r="5" spans="1:10" ht="23.25" customHeight="1">
      <c r="A5" s="1006" t="s">
        <v>1593</v>
      </c>
      <c r="B5" s="1006"/>
      <c r="C5" s="1006"/>
      <c r="D5" s="1006"/>
      <c r="E5" s="1006"/>
      <c r="F5" s="1006"/>
      <c r="G5" s="1006"/>
      <c r="H5" s="563"/>
    </row>
    <row r="6" spans="1:10" ht="16.5" customHeight="1">
      <c r="A6" s="639"/>
      <c r="B6" s="639"/>
      <c r="C6" s="639"/>
      <c r="D6" s="639"/>
      <c r="E6" s="639"/>
      <c r="F6" s="639"/>
      <c r="G6" s="639"/>
      <c r="H6" s="563"/>
    </row>
    <row r="7" spans="1:10" ht="18.75" customHeight="1">
      <c r="B7" s="108"/>
      <c r="C7" s="108"/>
      <c r="D7" s="109"/>
      <c r="E7" s="1010" t="s">
        <v>38</v>
      </c>
      <c r="F7" s="1010"/>
      <c r="G7" s="1010"/>
      <c r="H7" s="107"/>
    </row>
    <row r="8" spans="1:10" ht="18.95" customHeight="1">
      <c r="A8" s="1012" t="s">
        <v>39</v>
      </c>
      <c r="B8" s="1009" t="s">
        <v>97</v>
      </c>
      <c r="C8" s="1009" t="s">
        <v>1314</v>
      </c>
      <c r="D8" s="1009"/>
      <c r="E8" s="1013" t="s">
        <v>428</v>
      </c>
      <c r="F8" s="1009" t="s">
        <v>145</v>
      </c>
      <c r="G8" s="1009"/>
      <c r="H8" s="592"/>
    </row>
    <row r="9" spans="1:10" ht="18.95" customHeight="1">
      <c r="A9" s="1012"/>
      <c r="B9" s="1009"/>
      <c r="C9" s="1009"/>
      <c r="D9" s="1009"/>
      <c r="E9" s="1013"/>
      <c r="F9" s="584" t="s">
        <v>1357</v>
      </c>
      <c r="G9" s="584" t="s">
        <v>1359</v>
      </c>
      <c r="H9" s="574" t="s">
        <v>100</v>
      </c>
    </row>
    <row r="10" spans="1:10" ht="18.95" customHeight="1">
      <c r="A10" s="598" t="s">
        <v>51</v>
      </c>
      <c r="B10" s="598" t="s">
        <v>77</v>
      </c>
      <c r="C10" s="598" t="s">
        <v>103</v>
      </c>
      <c r="D10" s="598" t="s">
        <v>103</v>
      </c>
      <c r="E10" s="599" t="s">
        <v>104</v>
      </c>
      <c r="F10" s="600" t="s">
        <v>1315</v>
      </c>
      <c r="G10" s="598" t="s">
        <v>1316</v>
      </c>
      <c r="H10" s="593" t="s">
        <v>106</v>
      </c>
      <c r="I10" s="105">
        <v>50000</v>
      </c>
      <c r="J10" s="115">
        <f>+D15+I10</f>
        <v>8016290</v>
      </c>
    </row>
    <row r="11" spans="1:10" ht="20.100000000000001" hidden="1" customHeight="1">
      <c r="A11" s="601" t="s">
        <v>51</v>
      </c>
      <c r="B11" s="602" t="s">
        <v>107</v>
      </c>
      <c r="C11" s="603"/>
      <c r="D11" s="603"/>
      <c r="E11" s="604"/>
      <c r="F11" s="605"/>
      <c r="G11" s="605"/>
      <c r="H11" s="594"/>
    </row>
    <row r="12" spans="1:10" ht="18.95" customHeight="1">
      <c r="A12" s="601" t="s">
        <v>51</v>
      </c>
      <c r="B12" s="606" t="s">
        <v>109</v>
      </c>
      <c r="C12" s="603">
        <f>SUM(C13:C14)</f>
        <v>4237000</v>
      </c>
      <c r="D12" s="607">
        <f>SUM(D13:D14)</f>
        <v>4237000</v>
      </c>
      <c r="E12" s="608">
        <f>SUM(E13:E14)</f>
        <v>4171969.7899949998</v>
      </c>
      <c r="F12" s="609">
        <f>E12-D12</f>
        <v>-65030.210005000234</v>
      </c>
      <c r="G12" s="610">
        <f>E12/D12*100</f>
        <v>98.465182676303982</v>
      </c>
      <c r="H12" s="594"/>
      <c r="I12" s="105">
        <v>3851348.5094099999</v>
      </c>
    </row>
    <row r="13" spans="1:10" ht="18.95" customHeight="1">
      <c r="A13" s="611">
        <v>1</v>
      </c>
      <c r="B13" s="612" t="s">
        <v>110</v>
      </c>
      <c r="C13" s="613">
        <v>4117000</v>
      </c>
      <c r="D13" s="614">
        <v>4117000</v>
      </c>
      <c r="E13" s="615">
        <v>4155066.2753659999</v>
      </c>
      <c r="F13" s="616">
        <f t="shared" ref="F13:F14" si="0">E13-D13</f>
        <v>38066.2753659999</v>
      </c>
      <c r="G13" s="617">
        <f>E13/D13*100</f>
        <v>100.92461198362885</v>
      </c>
      <c r="H13" s="595"/>
      <c r="I13" s="106">
        <f>E16-I12</f>
        <v>0</v>
      </c>
    </row>
    <row r="14" spans="1:10" ht="18.95" customHeight="1">
      <c r="A14" s="611">
        <v>2</v>
      </c>
      <c r="B14" s="612" t="s">
        <v>111</v>
      </c>
      <c r="C14" s="613">
        <v>120000</v>
      </c>
      <c r="D14" s="614">
        <v>120000</v>
      </c>
      <c r="E14" s="615">
        <v>16903.514629000001</v>
      </c>
      <c r="F14" s="616">
        <f t="shared" si="0"/>
        <v>-103096.485371</v>
      </c>
      <c r="G14" s="617">
        <f>E14/D14*100</f>
        <v>14.086262190833335</v>
      </c>
      <c r="H14" s="595"/>
      <c r="I14" s="105" t="s">
        <v>666</v>
      </c>
    </row>
    <row r="15" spans="1:10" ht="18.95" customHeight="1">
      <c r="A15" s="601" t="s">
        <v>77</v>
      </c>
      <c r="B15" s="618" t="s">
        <v>1317</v>
      </c>
      <c r="C15" s="619">
        <f>+C16+C19+C29+C30+C33+C31+C32+C34</f>
        <v>7716290</v>
      </c>
      <c r="D15" s="620">
        <f>+D16+D19+D29+D30+D31+D32+D33+D34</f>
        <v>7966290</v>
      </c>
      <c r="E15" s="608">
        <f>+E16+E19+E29+E30+E31+E32+E33+E34</f>
        <v>9883155.6838039979</v>
      </c>
      <c r="F15" s="609">
        <f>E15-D15</f>
        <v>1916865.6838039979</v>
      </c>
      <c r="G15" s="610">
        <f t="shared" ref="G15:G25" si="1">E15/D15*100</f>
        <v>124.0622131984148</v>
      </c>
      <c r="H15" s="596" t="str">
        <f>+"#REF!-#REF!-#REF!-#REF!-#REF!"</f>
        <v>#REF!-#REF!-#REF!-#REF!-#REF!</v>
      </c>
      <c r="I15" s="414">
        <f>+E15-E35</f>
        <v>269730.17762999795</v>
      </c>
      <c r="J15" s="115">
        <f>+I15-D41</f>
        <v>269730.17762999795</v>
      </c>
    </row>
    <row r="16" spans="1:10" ht="18.95" customHeight="1">
      <c r="A16" s="611">
        <v>1</v>
      </c>
      <c r="B16" s="621" t="s">
        <v>113</v>
      </c>
      <c r="C16" s="613">
        <f>+C17+C18</f>
        <v>3887400</v>
      </c>
      <c r="D16" s="614">
        <f>+D17+D18</f>
        <v>3887400</v>
      </c>
      <c r="E16" s="615">
        <v>3851348.5094099999</v>
      </c>
      <c r="F16" s="616">
        <f t="shared" ref="F16:F21" si="2">E16-D16</f>
        <v>-36051.490590000059</v>
      </c>
      <c r="G16" s="617">
        <f t="shared" si="1"/>
        <v>99.072606611359788</v>
      </c>
      <c r="H16" s="595">
        <f>2422.4+152790.4+37525</f>
        <v>192737.8</v>
      </c>
      <c r="I16" s="105">
        <v>50000</v>
      </c>
      <c r="J16" s="105">
        <f>40000*0.7</f>
        <v>28000</v>
      </c>
    </row>
    <row r="17" spans="1:10" ht="18.95" customHeight="1">
      <c r="A17" s="611"/>
      <c r="B17" s="621" t="s">
        <v>114</v>
      </c>
      <c r="C17" s="613">
        <v>1255480</v>
      </c>
      <c r="D17" s="614">
        <v>1255480</v>
      </c>
      <c r="E17" s="615">
        <f>+E16-E18</f>
        <v>1548562.0072679999</v>
      </c>
      <c r="F17" s="616">
        <f t="shared" si="2"/>
        <v>293082.00726799993</v>
      </c>
      <c r="G17" s="617">
        <f t="shared" si="1"/>
        <v>123.34421952305095</v>
      </c>
      <c r="H17" s="595" t="e">
        <f>+H16-H15</f>
        <v>#VALUE!</v>
      </c>
      <c r="I17" s="115">
        <f>+D15+I16</f>
        <v>8016290</v>
      </c>
      <c r="J17" s="115">
        <f>+C15+I16</f>
        <v>7766290</v>
      </c>
    </row>
    <row r="18" spans="1:10" s="116" customFormat="1" ht="24.75" customHeight="1">
      <c r="A18" s="622"/>
      <c r="B18" s="621" t="s">
        <v>115</v>
      </c>
      <c r="C18" s="613">
        <v>2631920</v>
      </c>
      <c r="D18" s="614">
        <v>2631920</v>
      </c>
      <c r="E18" s="615">
        <v>2302786.502142</v>
      </c>
      <c r="F18" s="616">
        <f t="shared" si="2"/>
        <v>-329133.49785799999</v>
      </c>
      <c r="G18" s="617">
        <f t="shared" si="1"/>
        <v>87.494547788002677</v>
      </c>
      <c r="H18" s="595">
        <f>10747036-7219961-H33</f>
        <v>770056</v>
      </c>
      <c r="I18" s="116">
        <v>1356130.9538439999</v>
      </c>
    </row>
    <row r="19" spans="1:10" ht="18.95" customHeight="1">
      <c r="A19" s="611">
        <v>2</v>
      </c>
      <c r="B19" s="612" t="s">
        <v>116</v>
      </c>
      <c r="C19" s="613">
        <f>+C20+C25</f>
        <v>3828890</v>
      </c>
      <c r="D19" s="614">
        <f>+D20+D25</f>
        <v>3828890</v>
      </c>
      <c r="E19" s="615">
        <f>+E20+E25</f>
        <v>4953571.9840580001</v>
      </c>
      <c r="F19" s="616">
        <f t="shared" si="2"/>
        <v>1124681.9840580001</v>
      </c>
      <c r="G19" s="617">
        <f t="shared" si="1"/>
        <v>129.37357782694201</v>
      </c>
      <c r="H19" s="595"/>
      <c r="I19" s="105">
        <v>1598635.4809720004</v>
      </c>
    </row>
    <row r="20" spans="1:10" ht="18.95" customHeight="1">
      <c r="A20" s="611"/>
      <c r="B20" s="612" t="s">
        <v>117</v>
      </c>
      <c r="C20" s="623">
        <f>+C21+C22+C23+C24</f>
        <v>3196428</v>
      </c>
      <c r="D20" s="624">
        <f>+D21+D22+D23+D24</f>
        <v>3196428</v>
      </c>
      <c r="E20" s="615">
        <f>E21</f>
        <v>3196428</v>
      </c>
      <c r="F20" s="616">
        <f t="shared" si="2"/>
        <v>0</v>
      </c>
      <c r="G20" s="617">
        <f>E20/D21*100</f>
        <v>100</v>
      </c>
      <c r="H20" s="564"/>
      <c r="I20" s="106">
        <f>+E17-I19</f>
        <v>-50073.473704000469</v>
      </c>
      <c r="J20" s="105" t="s">
        <v>118</v>
      </c>
    </row>
    <row r="21" spans="1:10" s="572" customFormat="1" ht="18.95" customHeight="1">
      <c r="A21" s="635"/>
      <c r="B21" s="625" t="s">
        <v>119</v>
      </c>
      <c r="C21" s="626">
        <v>3196428</v>
      </c>
      <c r="D21" s="627">
        <v>3196428</v>
      </c>
      <c r="E21" s="628">
        <v>3196428</v>
      </c>
      <c r="F21" s="631">
        <f t="shared" si="2"/>
        <v>0</v>
      </c>
      <c r="G21" s="629">
        <v>0</v>
      </c>
      <c r="H21" s="644"/>
    </row>
    <row r="22" spans="1:10" ht="20.100000000000001" hidden="1" customHeight="1">
      <c r="A22" s="611"/>
      <c r="B22" s="625" t="s">
        <v>120</v>
      </c>
      <c r="C22" s="626"/>
      <c r="D22" s="627"/>
      <c r="E22" s="628"/>
      <c r="F22" s="616"/>
      <c r="G22" s="629"/>
      <c r="H22" s="564"/>
      <c r="I22" s="115">
        <f>+D15-C15</f>
        <v>250000</v>
      </c>
    </row>
    <row r="23" spans="1:10" ht="20.100000000000001" hidden="1" customHeight="1">
      <c r="A23" s="611"/>
      <c r="B23" s="625" t="s">
        <v>121</v>
      </c>
      <c r="C23" s="626"/>
      <c r="D23" s="627"/>
      <c r="E23" s="628"/>
      <c r="F23" s="616"/>
      <c r="G23" s="629"/>
      <c r="H23" s="564"/>
      <c r="I23" s="115">
        <f>+C19-D19</f>
        <v>0</v>
      </c>
    </row>
    <row r="24" spans="1:10" ht="20.100000000000001" hidden="1" customHeight="1">
      <c r="A24" s="611"/>
      <c r="B24" s="625" t="s">
        <v>122</v>
      </c>
      <c r="C24" s="626"/>
      <c r="D24" s="627"/>
      <c r="E24" s="628"/>
      <c r="F24" s="616"/>
      <c r="G24" s="629"/>
      <c r="H24" s="564"/>
    </row>
    <row r="25" spans="1:10" ht="18.95" customHeight="1">
      <c r="A25" s="611"/>
      <c r="B25" s="612" t="s">
        <v>123</v>
      </c>
      <c r="C25" s="613">
        <f>+C26+C27</f>
        <v>632462</v>
      </c>
      <c r="D25" s="614">
        <f>+D26+D27</f>
        <v>632462</v>
      </c>
      <c r="E25" s="615">
        <f>E26+E28+E27</f>
        <v>1757143.9840580001</v>
      </c>
      <c r="F25" s="616">
        <f t="shared" ref="F25:F30" si="3">E25-D25</f>
        <v>1124681.9840580001</v>
      </c>
      <c r="G25" s="617">
        <f t="shared" si="1"/>
        <v>277.82601706632175</v>
      </c>
      <c r="H25" s="595">
        <f>10747036-H29</f>
        <v>-1893138.6838039979</v>
      </c>
      <c r="I25" s="105">
        <v>1572792.8819250001</v>
      </c>
    </row>
    <row r="26" spans="1:10" s="572" customFormat="1" ht="18.95" customHeight="1">
      <c r="A26" s="635"/>
      <c r="B26" s="625" t="s">
        <v>124</v>
      </c>
      <c r="C26" s="630">
        <v>507420</v>
      </c>
      <c r="D26" s="631">
        <v>507420</v>
      </c>
      <c r="E26" s="628">
        <f>1027068.227235-125042+273609+63410+26176</f>
        <v>1265221.2272350001</v>
      </c>
      <c r="F26" s="631">
        <f t="shared" si="3"/>
        <v>757801.22723500011</v>
      </c>
      <c r="G26" s="629">
        <v>0</v>
      </c>
      <c r="H26" s="640"/>
      <c r="I26" s="572">
        <v>3214000000</v>
      </c>
    </row>
    <row r="27" spans="1:10" s="572" customFormat="1" ht="18.95" customHeight="1">
      <c r="A27" s="635"/>
      <c r="B27" s="625" t="s">
        <v>125</v>
      </c>
      <c r="C27" s="626">
        <v>125042</v>
      </c>
      <c r="D27" s="631">
        <v>125042</v>
      </c>
      <c r="E27" s="628">
        <v>125042</v>
      </c>
      <c r="F27" s="641">
        <f t="shared" si="3"/>
        <v>0</v>
      </c>
      <c r="G27" s="629">
        <v>0</v>
      </c>
      <c r="H27" s="640"/>
    </row>
    <row r="28" spans="1:10" s="643" customFormat="1" ht="18.95" customHeight="1">
      <c r="A28" s="635"/>
      <c r="B28" s="625" t="s">
        <v>126</v>
      </c>
      <c r="C28" s="627"/>
      <c r="D28" s="631">
        <v>0</v>
      </c>
      <c r="E28" s="628">
        <v>366880.75682299997</v>
      </c>
      <c r="F28" s="631">
        <f t="shared" si="3"/>
        <v>366880.75682299997</v>
      </c>
      <c r="G28" s="629">
        <v>0</v>
      </c>
      <c r="H28" s="642"/>
    </row>
    <row r="29" spans="1:10" ht="18.95" customHeight="1">
      <c r="A29" s="611">
        <v>3</v>
      </c>
      <c r="B29" s="612" t="s">
        <v>127</v>
      </c>
      <c r="C29" s="613"/>
      <c r="D29" s="614">
        <v>0</v>
      </c>
      <c r="E29" s="615">
        <v>988742.91058799997</v>
      </c>
      <c r="F29" s="616">
        <f t="shared" si="3"/>
        <v>988742.91058799997</v>
      </c>
      <c r="G29" s="617">
        <v>0</v>
      </c>
      <c r="H29" s="595">
        <f>+E15+E46+H33</f>
        <v>12640174.683803998</v>
      </c>
    </row>
    <row r="30" spans="1:10" ht="18.95" customHeight="1">
      <c r="A30" s="611">
        <v>4</v>
      </c>
      <c r="B30" s="612" t="s">
        <v>128</v>
      </c>
      <c r="C30" s="613"/>
      <c r="D30" s="614">
        <v>250000</v>
      </c>
      <c r="E30" s="617">
        <v>0</v>
      </c>
      <c r="F30" s="616">
        <f t="shared" si="3"/>
        <v>-250000</v>
      </c>
      <c r="G30" s="617">
        <v>0</v>
      </c>
      <c r="H30" s="595">
        <f>+H32+H33</f>
        <v>12640174.683803998</v>
      </c>
    </row>
    <row r="31" spans="1:10" ht="18.95" customHeight="1">
      <c r="A31" s="611">
        <v>5</v>
      </c>
      <c r="B31" s="612" t="s">
        <v>59</v>
      </c>
      <c r="C31" s="613"/>
      <c r="D31" s="614">
        <v>0</v>
      </c>
      <c r="E31" s="617">
        <v>0</v>
      </c>
      <c r="F31" s="609"/>
      <c r="G31" s="617">
        <v>0</v>
      </c>
      <c r="H31" s="595"/>
    </row>
    <row r="32" spans="1:10" ht="18.95" customHeight="1">
      <c r="A32" s="611">
        <v>6</v>
      </c>
      <c r="B32" s="612" t="s">
        <v>65</v>
      </c>
      <c r="C32" s="613"/>
      <c r="D32" s="614">
        <v>0</v>
      </c>
      <c r="E32" s="615">
        <v>515.46299999999997</v>
      </c>
      <c r="F32" s="616">
        <f t="shared" ref="F32:F44" si="4">E32-D32</f>
        <v>515.46299999999997</v>
      </c>
      <c r="G32" s="617">
        <v>0</v>
      </c>
      <c r="H32" s="595">
        <f>+E15+E46</f>
        <v>9883155.6838039979</v>
      </c>
      <c r="I32" s="105">
        <v>214782.0031430017</v>
      </c>
      <c r="J32" s="106">
        <f>I32-I34</f>
        <v>-54948.174486996257</v>
      </c>
    </row>
    <row r="33" spans="1:10" ht="18.95" customHeight="1">
      <c r="A33" s="611">
        <v>7</v>
      </c>
      <c r="B33" s="612" t="s">
        <v>129</v>
      </c>
      <c r="C33" s="613"/>
      <c r="D33" s="614">
        <v>0</v>
      </c>
      <c r="E33" s="615">
        <v>63134.217701000001</v>
      </c>
      <c r="F33" s="616">
        <f t="shared" si="4"/>
        <v>63134.217701000001</v>
      </c>
      <c r="G33" s="617">
        <v>0</v>
      </c>
      <c r="H33" s="596">
        <f>2158240+598779</f>
        <v>2757019</v>
      </c>
      <c r="I33" s="106">
        <f>J35-I34</f>
        <v>506784.03658400103</v>
      </c>
    </row>
    <row r="34" spans="1:10" ht="25.5" customHeight="1">
      <c r="A34" s="611">
        <v>8</v>
      </c>
      <c r="B34" s="612" t="s">
        <v>73</v>
      </c>
      <c r="C34" s="632"/>
      <c r="D34" s="614">
        <v>0</v>
      </c>
      <c r="E34" s="633">
        <v>25842.599047</v>
      </c>
      <c r="F34" s="616">
        <f t="shared" si="4"/>
        <v>25842.599047</v>
      </c>
      <c r="G34" s="617">
        <v>0</v>
      </c>
      <c r="H34" s="596"/>
      <c r="I34" s="481">
        <f>E15-E35</f>
        <v>269730.17762999795</v>
      </c>
    </row>
    <row r="35" spans="1:10" ht="18.95" customHeight="1">
      <c r="A35" s="601" t="s">
        <v>141</v>
      </c>
      <c r="B35" s="618" t="s">
        <v>1318</v>
      </c>
      <c r="C35" s="619">
        <f>SUM(C36:C43)</f>
        <v>7490070</v>
      </c>
      <c r="D35" s="620">
        <f>SUM(D36:D43)</f>
        <v>7966290</v>
      </c>
      <c r="E35" s="608">
        <f>SUM(E36:E44)</f>
        <v>9613425.506174</v>
      </c>
      <c r="F35" s="609">
        <f t="shared" si="4"/>
        <v>1647135.506174</v>
      </c>
      <c r="G35" s="610">
        <f>E35/D35*100</f>
        <v>120.67631866494943</v>
      </c>
      <c r="H35" s="596">
        <f>+E35+E48</f>
        <v>9613425.506174</v>
      </c>
      <c r="I35" s="105">
        <v>9575608.2176179998</v>
      </c>
      <c r="J35" s="105">
        <v>776514.21421399899</v>
      </c>
    </row>
    <row r="36" spans="1:10" ht="18.95" customHeight="1">
      <c r="A36" s="611">
        <v>1</v>
      </c>
      <c r="B36" s="612" t="s">
        <v>54</v>
      </c>
      <c r="C36" s="613">
        <v>1216570</v>
      </c>
      <c r="D36" s="614">
        <v>1459770</v>
      </c>
      <c r="E36" s="615">
        <v>1634663.06317</v>
      </c>
      <c r="F36" s="616">
        <f t="shared" si="4"/>
        <v>174893.06316999998</v>
      </c>
      <c r="G36" s="617">
        <f>E36/D36*100</f>
        <v>111.98086432588697</v>
      </c>
      <c r="H36" s="596">
        <f>+H35+H33</f>
        <v>12370444.506174</v>
      </c>
      <c r="I36" s="105">
        <v>734085.016069</v>
      </c>
      <c r="J36" s="106">
        <f>+E35-I35</f>
        <v>37817.288556000218</v>
      </c>
    </row>
    <row r="37" spans="1:10" ht="18.95" customHeight="1">
      <c r="A37" s="611">
        <v>2</v>
      </c>
      <c r="B37" s="612" t="s">
        <v>62</v>
      </c>
      <c r="C37" s="613">
        <v>5499118</v>
      </c>
      <c r="D37" s="614">
        <v>5505918</v>
      </c>
      <c r="E37" s="634">
        <v>5826674.0866430001</v>
      </c>
      <c r="F37" s="616">
        <f t="shared" si="4"/>
        <v>320756.08664300013</v>
      </c>
      <c r="G37" s="617">
        <f>E37/D37*100</f>
        <v>105.82566043742388</v>
      </c>
      <c r="H37" s="565"/>
      <c r="I37" s="105">
        <v>721204.77114900004</v>
      </c>
    </row>
    <row r="38" spans="1:10" ht="18.95" customHeight="1">
      <c r="A38" s="611">
        <v>3</v>
      </c>
      <c r="B38" s="612" t="s">
        <v>131</v>
      </c>
      <c r="C38" s="613">
        <v>632462</v>
      </c>
      <c r="D38" s="614">
        <v>632462</v>
      </c>
      <c r="E38" s="634">
        <v>844435.173159</v>
      </c>
      <c r="F38" s="616">
        <f t="shared" si="4"/>
        <v>211973.173159</v>
      </c>
      <c r="G38" s="617">
        <f>E38/D38*100</f>
        <v>133.51555874645433</v>
      </c>
      <c r="H38" s="597"/>
      <c r="I38" s="105">
        <f>+I36-I37</f>
        <v>12880.244919999968</v>
      </c>
    </row>
    <row r="39" spans="1:10" ht="18.95" customHeight="1">
      <c r="A39" s="611">
        <v>4</v>
      </c>
      <c r="B39" s="612" t="s">
        <v>132</v>
      </c>
      <c r="C39" s="613"/>
      <c r="D39" s="614">
        <v>226220</v>
      </c>
      <c r="E39" s="634">
        <v>227262.46900000001</v>
      </c>
      <c r="F39" s="616">
        <f t="shared" si="4"/>
        <v>1042.4690000000119</v>
      </c>
      <c r="G39" s="617">
        <f>E39/D39*100</f>
        <v>100.46082088232696</v>
      </c>
      <c r="H39" s="564"/>
      <c r="I39" s="105">
        <v>50000</v>
      </c>
      <c r="J39" s="115">
        <f>+I39+D35</f>
        <v>8016290</v>
      </c>
    </row>
    <row r="40" spans="1:10" ht="18.95" customHeight="1">
      <c r="A40" s="611">
        <v>5</v>
      </c>
      <c r="B40" s="612" t="s">
        <v>133</v>
      </c>
      <c r="C40" s="613">
        <v>140920</v>
      </c>
      <c r="D40" s="614">
        <v>140920</v>
      </c>
      <c r="E40" s="615">
        <v>0</v>
      </c>
      <c r="F40" s="616">
        <f t="shared" si="4"/>
        <v>-140920</v>
      </c>
      <c r="G40" s="617"/>
      <c r="H40" s="564"/>
      <c r="I40" s="106">
        <f>E15-E35</f>
        <v>269730.17762999795</v>
      </c>
    </row>
    <row r="41" spans="1:10" ht="18.95" customHeight="1">
      <c r="A41" s="611">
        <v>6</v>
      </c>
      <c r="B41" s="612" t="s">
        <v>134</v>
      </c>
      <c r="C41" s="613"/>
      <c r="D41" s="614">
        <v>0</v>
      </c>
      <c r="E41" s="615">
        <v>0</v>
      </c>
      <c r="F41" s="609">
        <f t="shared" si="4"/>
        <v>0</v>
      </c>
      <c r="G41" s="617"/>
      <c r="H41" s="564"/>
      <c r="I41" s="105">
        <v>779169.21421399899</v>
      </c>
    </row>
    <row r="42" spans="1:10" ht="18.95" customHeight="1">
      <c r="A42" s="611">
        <v>7</v>
      </c>
      <c r="B42" s="612" t="s">
        <v>64</v>
      </c>
      <c r="C42" s="613">
        <v>1000</v>
      </c>
      <c r="D42" s="614">
        <v>1000</v>
      </c>
      <c r="E42" s="615">
        <v>1000</v>
      </c>
      <c r="F42" s="609">
        <f t="shared" si="4"/>
        <v>0</v>
      </c>
      <c r="G42" s="617">
        <f>E42/D42*100</f>
        <v>100</v>
      </c>
      <c r="H42" s="564"/>
      <c r="I42" s="106">
        <f>I41-I34</f>
        <v>509439.03658400103</v>
      </c>
    </row>
    <row r="43" spans="1:10" ht="18.95" customHeight="1">
      <c r="A43" s="611">
        <v>8</v>
      </c>
      <c r="B43" s="612" t="s">
        <v>135</v>
      </c>
      <c r="C43" s="613"/>
      <c r="D43" s="614"/>
      <c r="E43" s="615">
        <v>1076220.2512020001</v>
      </c>
      <c r="F43" s="616">
        <f t="shared" si="4"/>
        <v>1076220.2512020001</v>
      </c>
      <c r="G43" s="617"/>
      <c r="H43" s="564"/>
      <c r="I43" s="129">
        <v>1076220251202</v>
      </c>
    </row>
    <row r="44" spans="1:10" ht="18.95" customHeight="1">
      <c r="A44" s="611">
        <v>9</v>
      </c>
      <c r="B44" s="612" t="s">
        <v>72</v>
      </c>
      <c r="C44" s="613"/>
      <c r="D44" s="614"/>
      <c r="E44" s="615">
        <v>3170.4630000000002</v>
      </c>
      <c r="F44" s="616">
        <f t="shared" si="4"/>
        <v>3170.4630000000002</v>
      </c>
      <c r="G44" s="617"/>
      <c r="H44" s="564"/>
      <c r="I44" s="105">
        <v>227262.46900000001</v>
      </c>
    </row>
    <row r="45" spans="1:10" s="118" customFormat="1" ht="20.100000000000001" hidden="1" customHeight="1">
      <c r="A45" s="601" t="s">
        <v>77</v>
      </c>
      <c r="B45" s="618" t="s">
        <v>136</v>
      </c>
      <c r="C45" s="619"/>
      <c r="D45" s="620"/>
      <c r="E45" s="608"/>
      <c r="F45" s="609"/>
      <c r="G45" s="610"/>
      <c r="H45" s="565"/>
    </row>
    <row r="46" spans="1:10" ht="20.100000000000001" hidden="1" customHeight="1">
      <c r="A46" s="611" t="s">
        <v>108</v>
      </c>
      <c r="B46" s="612" t="s">
        <v>137</v>
      </c>
      <c r="C46" s="613"/>
      <c r="D46" s="614"/>
      <c r="E46" s="615"/>
      <c r="F46" s="609"/>
      <c r="G46" s="617"/>
      <c r="H46" s="566"/>
    </row>
    <row r="47" spans="1:10" ht="20.100000000000001" hidden="1" customHeight="1">
      <c r="A47" s="635"/>
      <c r="B47" s="625" t="s">
        <v>138</v>
      </c>
      <c r="C47" s="626"/>
      <c r="D47" s="627"/>
      <c r="E47" s="628"/>
      <c r="F47" s="609"/>
      <c r="G47" s="617"/>
      <c r="H47" s="567"/>
    </row>
    <row r="48" spans="1:10" ht="20.100000000000001" hidden="1" customHeight="1">
      <c r="A48" s="611" t="s">
        <v>112</v>
      </c>
      <c r="B48" s="612" t="s">
        <v>139</v>
      </c>
      <c r="C48" s="613"/>
      <c r="D48" s="614"/>
      <c r="E48" s="615"/>
      <c r="F48" s="609"/>
      <c r="G48" s="617"/>
      <c r="H48" s="568"/>
      <c r="I48" s="106"/>
    </row>
    <row r="49" spans="1:10" ht="20.100000000000001" hidden="1" customHeight="1">
      <c r="A49" s="635"/>
      <c r="B49" s="625" t="s">
        <v>140</v>
      </c>
      <c r="C49" s="626"/>
      <c r="D49" s="627"/>
      <c r="E49" s="628"/>
      <c r="F49" s="609"/>
      <c r="G49" s="629"/>
      <c r="H49" s="569"/>
      <c r="I49" s="106"/>
      <c r="J49" s="106">
        <v>646629582891</v>
      </c>
    </row>
    <row r="50" spans="1:10" ht="28.5" hidden="1">
      <c r="A50" s="601" t="s">
        <v>141</v>
      </c>
      <c r="B50" s="618" t="s">
        <v>142</v>
      </c>
      <c r="C50" s="619"/>
      <c r="D50" s="620">
        <f>+D15-D35</f>
        <v>0</v>
      </c>
      <c r="E50" s="636">
        <f>+E15-E35+E46-E48</f>
        <v>269730.17762999795</v>
      </c>
      <c r="F50" s="609"/>
      <c r="G50" s="610"/>
      <c r="H50" s="565"/>
    </row>
    <row r="51" spans="1:10" ht="18.95" customHeight="1">
      <c r="A51" s="601" t="s">
        <v>582</v>
      </c>
      <c r="B51" s="618" t="s">
        <v>1353</v>
      </c>
      <c r="C51" s="637"/>
      <c r="D51" s="609">
        <v>0</v>
      </c>
      <c r="E51" s="608">
        <f>E15-E35</f>
        <v>269730.17762999795</v>
      </c>
      <c r="F51" s="609">
        <v>0</v>
      </c>
      <c r="G51" s="609">
        <v>0</v>
      </c>
      <c r="I51" s="106">
        <f>E39-I44</f>
        <v>0</v>
      </c>
      <c r="J51" s="106"/>
    </row>
    <row r="52" spans="1:10" s="120" customFormat="1" ht="16.5">
      <c r="B52" s="121"/>
      <c r="C52" s="122"/>
      <c r="D52" s="121"/>
      <c r="E52" s="123"/>
      <c r="F52" s="122"/>
      <c r="G52" s="124"/>
    </row>
    <row r="53" spans="1:10">
      <c r="B53" s="125"/>
      <c r="C53" s="121"/>
      <c r="D53" s="126"/>
      <c r="E53" s="127"/>
      <c r="F53" s="125"/>
      <c r="G53" s="128"/>
    </row>
    <row r="54" spans="1:10">
      <c r="E54" s="127"/>
      <c r="F54" s="126"/>
    </row>
  </sheetData>
  <sheetProtection selectLockedCells="1" selectUnlockedCells="1"/>
  <mergeCells count="9">
    <mergeCell ref="F8:G8"/>
    <mergeCell ref="C8:D9"/>
    <mergeCell ref="A4:G4"/>
    <mergeCell ref="E7:G7"/>
    <mergeCell ref="F1:G1"/>
    <mergeCell ref="A8:A9"/>
    <mergeCell ref="B8:B9"/>
    <mergeCell ref="E8:E9"/>
    <mergeCell ref="A5:G5"/>
  </mergeCells>
  <phoneticPr fontId="160" type="noConversion"/>
  <printOptions horizontalCentered="1"/>
  <pageMargins left="0.196850393700787" right="0.196850393700787" top="0.59055118110236204" bottom="0.34" header="0.511811023622047" footer="0.196850393700787"/>
  <pageSetup paperSize="9" firstPageNumber="0" orientation="portrait" r:id="rId1"/>
  <headerFooter differentFirst="1" alignWithMargins="0">
    <oddFooter>&amp;C&amp;"Times New Roman,Regular"&amp;12&amp;P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0"/>
  <sheetViews>
    <sheetView topLeftCell="A2" zoomScale="140" zoomScaleNormal="140" workbookViewId="0">
      <selection activeCell="D42" sqref="D42"/>
    </sheetView>
  </sheetViews>
  <sheetFormatPr defaultRowHeight="15.75"/>
  <cols>
    <col min="1" max="1" width="5.42578125" style="105" customWidth="1"/>
    <col min="2" max="2" width="52" style="105" customWidth="1"/>
    <col min="3" max="3" width="11.42578125" style="105" customWidth="1"/>
    <col min="4" max="4" width="13" style="105" customWidth="1"/>
    <col min="5" max="5" width="12.140625" style="105" customWidth="1"/>
    <col min="6" max="6" width="27.140625" style="105" hidden="1" customWidth="1"/>
    <col min="7" max="7" width="21.5703125" style="105" hidden="1" customWidth="1"/>
    <col min="8" max="8" width="19.7109375" style="105" hidden="1" customWidth="1"/>
    <col min="9" max="9" width="21.5703125" style="105" hidden="1" customWidth="1"/>
    <col min="10" max="10" width="19" style="105" hidden="1" customWidth="1"/>
    <col min="11" max="12" width="0" style="105" hidden="1" customWidth="1"/>
    <col min="13" max="13" width="9.140625" style="105"/>
    <col min="14" max="14" width="11.28515625" style="105" bestFit="1" customWidth="1"/>
    <col min="15" max="16384" width="9.140625" style="105"/>
  </cols>
  <sheetData>
    <row r="1" spans="1:9" s="588" customFormat="1" ht="17.100000000000001" customHeight="1">
      <c r="A1" s="587" t="s">
        <v>1355</v>
      </c>
      <c r="D1" s="1011" t="s">
        <v>1361</v>
      </c>
      <c r="E1" s="1011"/>
    </row>
    <row r="2" spans="1:9" s="588" customFormat="1" ht="17.100000000000001" customHeight="1">
      <c r="A2" s="587" t="s">
        <v>1360</v>
      </c>
      <c r="D2" s="646"/>
      <c r="E2" s="646"/>
    </row>
    <row r="3" spans="1:9" ht="28.5" customHeight="1">
      <c r="F3" s="107"/>
    </row>
    <row r="4" spans="1:9" ht="23.25" customHeight="1">
      <c r="A4" s="1005" t="s">
        <v>143</v>
      </c>
      <c r="B4" s="1005"/>
      <c r="C4" s="1005"/>
      <c r="D4" s="1005"/>
      <c r="E4" s="1005"/>
      <c r="F4" s="563"/>
    </row>
    <row r="5" spans="1:9" ht="21.75" customHeight="1">
      <c r="A5" s="1006" t="s">
        <v>1358</v>
      </c>
      <c r="B5" s="1006"/>
      <c r="C5" s="1006"/>
      <c r="D5" s="1006"/>
      <c r="E5" s="1006"/>
      <c r="F5" s="563"/>
    </row>
    <row r="6" spans="1:9" ht="27" customHeight="1">
      <c r="A6" s="647"/>
      <c r="B6" s="647"/>
      <c r="C6" s="647"/>
      <c r="D6" s="647"/>
      <c r="E6" s="647"/>
      <c r="F6" s="563"/>
    </row>
    <row r="7" spans="1:9" ht="21" customHeight="1">
      <c r="B7" s="108"/>
      <c r="C7" s="109"/>
      <c r="D7" s="1014" t="s">
        <v>38</v>
      </c>
      <c r="E7" s="1014"/>
      <c r="F7" s="107" t="s">
        <v>38</v>
      </c>
      <c r="G7" s="105">
        <v>20000</v>
      </c>
    </row>
    <row r="8" spans="1:9" ht="36" customHeight="1">
      <c r="A8" s="670" t="s">
        <v>39</v>
      </c>
      <c r="B8" s="668" t="s">
        <v>144</v>
      </c>
      <c r="C8" s="668" t="s">
        <v>94</v>
      </c>
      <c r="D8" s="668" t="s">
        <v>428</v>
      </c>
      <c r="E8" s="668" t="s">
        <v>96</v>
      </c>
      <c r="F8" s="648" t="s">
        <v>146</v>
      </c>
      <c r="G8" s="129">
        <f>+G7+C12</f>
        <v>7335126</v>
      </c>
      <c r="H8" s="105">
        <v>3179685.9635049999</v>
      </c>
    </row>
    <row r="9" spans="1:9" ht="30" hidden="1">
      <c r="A9" s="671"/>
      <c r="B9" s="672"/>
      <c r="C9" s="672" t="str">
        <f>+"#REF!+#REF!+#REF!"</f>
        <v>#REF!+#REF!+#REF!</v>
      </c>
      <c r="D9" s="672"/>
      <c r="E9" s="672"/>
      <c r="F9" s="649"/>
    </row>
    <row r="10" spans="1:9" ht="20.100000000000001" customHeight="1">
      <c r="A10" s="598" t="s">
        <v>51</v>
      </c>
      <c r="B10" s="598" t="s">
        <v>77</v>
      </c>
      <c r="C10" s="598" t="s">
        <v>103</v>
      </c>
      <c r="D10" s="598" t="s">
        <v>104</v>
      </c>
      <c r="E10" s="598" t="s">
        <v>1326</v>
      </c>
      <c r="F10" s="650" t="s">
        <v>147</v>
      </c>
      <c r="G10" s="105">
        <v>3203304.7919800002</v>
      </c>
    </row>
    <row r="11" spans="1:9" ht="20.100000000000001" customHeight="1">
      <c r="A11" s="670" t="s">
        <v>51</v>
      </c>
      <c r="B11" s="673" t="s">
        <v>148</v>
      </c>
      <c r="C11" s="619"/>
      <c r="D11" s="619"/>
      <c r="E11" s="619"/>
      <c r="F11" s="651"/>
      <c r="G11" s="105">
        <v>20000</v>
      </c>
    </row>
    <row r="12" spans="1:9" ht="20.100000000000001" customHeight="1">
      <c r="A12" s="670" t="s">
        <v>108</v>
      </c>
      <c r="B12" s="673" t="s">
        <v>149</v>
      </c>
      <c r="C12" s="674">
        <f>+C13+C18+C25+C28+C29+C30+C31+C40</f>
        <v>7315126</v>
      </c>
      <c r="D12" s="608">
        <f>+D13+D18+D25+D26+D27+D28+D29+D30+D31+D32</f>
        <v>8894132.6146879997</v>
      </c>
      <c r="E12" s="675">
        <f>+E13+E18+E25+E28+E29+E30+E31+E40</f>
        <v>227.59413149864582</v>
      </c>
      <c r="F12" s="652"/>
      <c r="G12" s="115">
        <f>+D12+D40+D44</f>
        <v>13412984.203768</v>
      </c>
      <c r="H12" s="114">
        <f>+D12+D45</f>
        <v>9566832.2067750003</v>
      </c>
      <c r="I12" s="114" t="e">
        <f>+D12+G45</f>
        <v>#VALUE!</v>
      </c>
    </row>
    <row r="13" spans="1:9" ht="20.100000000000001" customHeight="1">
      <c r="A13" s="671">
        <v>1</v>
      </c>
      <c r="B13" s="676" t="s">
        <v>150</v>
      </c>
      <c r="C13" s="677">
        <f>+C15+C16</f>
        <v>3236236</v>
      </c>
      <c r="D13" s="615">
        <f>+D15+D16</f>
        <v>3178648.9173229998</v>
      </c>
      <c r="E13" s="678">
        <f t="shared" ref="E13:E20" si="0">D13/C13*100</f>
        <v>98.220553671703797</v>
      </c>
      <c r="F13" s="653">
        <f>+D13+D45</f>
        <v>3851348.5094099999</v>
      </c>
      <c r="G13" s="115" t="e">
        <f>+D12-"#REF!"</f>
        <v>#VALUE!</v>
      </c>
      <c r="H13" s="131">
        <f>+D13+D45</f>
        <v>3851348.5094099999</v>
      </c>
    </row>
    <row r="14" spans="1:9" s="572" customFormat="1" ht="20.100000000000001" customHeight="1">
      <c r="A14" s="679"/>
      <c r="B14" s="680" t="s">
        <v>1319</v>
      </c>
      <c r="C14" s="681">
        <f>+C15+C16</f>
        <v>3236236</v>
      </c>
      <c r="D14" s="628">
        <f>+D15+D16</f>
        <v>3178648.9173229998</v>
      </c>
      <c r="E14" s="683">
        <v>0</v>
      </c>
      <c r="F14" s="654"/>
      <c r="G14" s="570"/>
      <c r="H14" s="571"/>
    </row>
    <row r="15" spans="1:9" ht="18.95" hidden="1" customHeight="1">
      <c r="A15" s="671"/>
      <c r="B15" s="676" t="s">
        <v>151</v>
      </c>
      <c r="C15" s="677">
        <v>945100</v>
      </c>
      <c r="D15" s="615">
        <f>3178648.917323-D16</f>
        <v>1138482.4235549998</v>
      </c>
      <c r="E15" s="678">
        <f t="shared" si="0"/>
        <v>120.46158327743093</v>
      </c>
      <c r="F15" s="653">
        <f>+D12-D33+D40-D41</f>
        <v>161330.90811800025</v>
      </c>
      <c r="G15" s="115">
        <v>3178648917323</v>
      </c>
    </row>
    <row r="16" spans="1:9" ht="18.95" hidden="1" customHeight="1">
      <c r="A16" s="671"/>
      <c r="B16" s="676" t="s">
        <v>152</v>
      </c>
      <c r="C16" s="677">
        <v>2291136</v>
      </c>
      <c r="D16" s="615">
        <v>2040166.493768</v>
      </c>
      <c r="E16" s="678">
        <f t="shared" si="0"/>
        <v>89.046066831824916</v>
      </c>
      <c r="F16" s="653"/>
      <c r="G16" s="115">
        <f>+D12+D40</f>
        <v>8894132.6146879997</v>
      </c>
      <c r="H16" s="106">
        <f>+D16+D48</f>
        <v>2302786.502142</v>
      </c>
    </row>
    <row r="17" spans="1:14" s="572" customFormat="1" ht="20.100000000000001" customHeight="1">
      <c r="A17" s="679"/>
      <c r="B17" s="680" t="s">
        <v>1320</v>
      </c>
      <c r="C17" s="683">
        <v>0</v>
      </c>
      <c r="D17" s="683">
        <v>0</v>
      </c>
      <c r="E17" s="683">
        <v>0</v>
      </c>
      <c r="F17" s="654"/>
      <c r="G17" s="570"/>
      <c r="H17" s="573"/>
    </row>
    <row r="18" spans="1:14" ht="20.100000000000001" customHeight="1">
      <c r="A18" s="671">
        <v>2</v>
      </c>
      <c r="B18" s="684" t="s">
        <v>116</v>
      </c>
      <c r="C18" s="677">
        <f>+C19+C20+C21+C22+C23+C24</f>
        <v>3828890</v>
      </c>
      <c r="D18" s="615">
        <f>D19+D20+D21</f>
        <v>4953571.9840580001</v>
      </c>
      <c r="E18" s="678">
        <f t="shared" si="0"/>
        <v>129.37357782694201</v>
      </c>
      <c r="F18" s="653"/>
      <c r="G18" s="114">
        <f>+G16-D33-D41</f>
        <v>161330.90811800025</v>
      </c>
      <c r="H18" s="106">
        <f>+D15+D47</f>
        <v>1548562.0072679999</v>
      </c>
    </row>
    <row r="19" spans="1:14" ht="20.100000000000001" customHeight="1">
      <c r="A19" s="671"/>
      <c r="B19" s="680" t="s">
        <v>1362</v>
      </c>
      <c r="C19" s="681">
        <v>3196428</v>
      </c>
      <c r="D19" s="628">
        <v>3196428</v>
      </c>
      <c r="E19" s="682">
        <f t="shared" si="0"/>
        <v>100</v>
      </c>
      <c r="F19" s="653"/>
      <c r="H19" s="105">
        <v>3202879.7919800002</v>
      </c>
    </row>
    <row r="20" spans="1:14" ht="20.100000000000001" customHeight="1">
      <c r="A20" s="671"/>
      <c r="B20" s="680" t="s">
        <v>1363</v>
      </c>
      <c r="C20" s="681">
        <v>507420</v>
      </c>
      <c r="D20" s="628">
        <f>1390734.984058-125042+273609+3214+63410+26176</f>
        <v>1632101.9840579999</v>
      </c>
      <c r="E20" s="682">
        <f t="shared" si="0"/>
        <v>321.64715306018678</v>
      </c>
      <c r="F20" s="653"/>
      <c r="G20" s="115">
        <f>+D16+D48</f>
        <v>2302786.502142</v>
      </c>
    </row>
    <row r="21" spans="1:14" ht="20.100000000000001" customHeight="1">
      <c r="A21" s="671"/>
      <c r="B21" s="680" t="s">
        <v>1364</v>
      </c>
      <c r="C21" s="681">
        <v>125042</v>
      </c>
      <c r="D21" s="628">
        <v>125042</v>
      </c>
      <c r="E21" s="682">
        <f>+D21/C21*100</f>
        <v>100</v>
      </c>
      <c r="F21" s="653"/>
      <c r="G21" s="115" t="s">
        <v>153</v>
      </c>
      <c r="H21" s="105">
        <v>2620.6758049999999</v>
      </c>
    </row>
    <row r="22" spans="1:14" ht="18.95" hidden="1" customHeight="1">
      <c r="A22" s="671"/>
      <c r="B22" s="684" t="s">
        <v>120</v>
      </c>
      <c r="C22" s="685">
        <v>0</v>
      </c>
      <c r="D22" s="685"/>
      <c r="E22" s="678"/>
      <c r="F22" s="653"/>
      <c r="G22" s="115">
        <f>D15+D47</f>
        <v>1548562.0072679999</v>
      </c>
    </row>
    <row r="23" spans="1:14" ht="18.95" hidden="1" customHeight="1">
      <c r="A23" s="671"/>
      <c r="B23" s="684" t="s">
        <v>154</v>
      </c>
      <c r="C23" s="685">
        <v>0</v>
      </c>
      <c r="D23" s="685"/>
      <c r="E23" s="678"/>
      <c r="F23" s="653"/>
      <c r="G23" s="115"/>
    </row>
    <row r="24" spans="1:14" ht="18.95" hidden="1" customHeight="1">
      <c r="A24" s="671"/>
      <c r="B24" s="684" t="s">
        <v>122</v>
      </c>
      <c r="C24" s="685">
        <v>0</v>
      </c>
      <c r="D24" s="685"/>
      <c r="E24" s="678"/>
      <c r="F24" s="653"/>
      <c r="G24" s="115"/>
    </row>
    <row r="25" spans="1:14" ht="18.95" hidden="1" customHeight="1">
      <c r="A25" s="671">
        <v>3</v>
      </c>
      <c r="B25" s="684" t="s">
        <v>155</v>
      </c>
      <c r="C25" s="685">
        <v>0</v>
      </c>
      <c r="D25" s="685"/>
      <c r="E25" s="678"/>
      <c r="F25" s="653"/>
      <c r="G25" s="115">
        <f>D12-D33</f>
        <v>161330.90811800025</v>
      </c>
    </row>
    <row r="26" spans="1:14" s="117" customFormat="1" ht="30" hidden="1">
      <c r="A26" s="671">
        <v>4</v>
      </c>
      <c r="B26" s="684" t="s">
        <v>156</v>
      </c>
      <c r="C26" s="677"/>
      <c r="D26" s="615"/>
      <c r="E26" s="678"/>
      <c r="F26" s="655"/>
      <c r="G26" s="132">
        <v>176176</v>
      </c>
    </row>
    <row r="27" spans="1:14" ht="20.100000000000001" customHeight="1">
      <c r="A27" s="671">
        <v>3</v>
      </c>
      <c r="B27" s="684" t="s">
        <v>127</v>
      </c>
      <c r="C27" s="685">
        <v>0</v>
      </c>
      <c r="D27" s="615">
        <v>761269.25030700001</v>
      </c>
      <c r="E27" s="685">
        <v>0</v>
      </c>
      <c r="F27" s="653"/>
      <c r="G27" s="115">
        <f>+D12-D33</f>
        <v>161330.90811800025</v>
      </c>
      <c r="H27" s="133" t="str">
        <f>+"#REF!-#REF!"</f>
        <v>#REF!-#REF!</v>
      </c>
    </row>
    <row r="28" spans="1:14" ht="20.100000000000001" customHeight="1">
      <c r="A28" s="671">
        <v>4</v>
      </c>
      <c r="B28" s="684" t="s">
        <v>128</v>
      </c>
      <c r="C28" s="677">
        <v>250000</v>
      </c>
      <c r="D28" s="685">
        <v>0</v>
      </c>
      <c r="E28" s="685">
        <v>0</v>
      </c>
      <c r="F28" s="653"/>
      <c r="H28" s="133" t="str">
        <f>+"#REF!-#REF!"</f>
        <v>#REF!-#REF!</v>
      </c>
      <c r="N28" s="106"/>
    </row>
    <row r="29" spans="1:14" ht="20.100000000000001" customHeight="1">
      <c r="A29" s="671">
        <v>5</v>
      </c>
      <c r="B29" s="684" t="s">
        <v>129</v>
      </c>
      <c r="C29" s="685">
        <v>0</v>
      </c>
      <c r="D29" s="685">
        <v>0</v>
      </c>
      <c r="E29" s="685">
        <v>0</v>
      </c>
      <c r="F29" s="653"/>
      <c r="G29" s="106">
        <v>3203304.7919800002</v>
      </c>
      <c r="H29" s="106">
        <f>+D13-G29</f>
        <v>-24655.874657000415</v>
      </c>
    </row>
    <row r="30" spans="1:14" ht="20.100000000000001" customHeight="1">
      <c r="A30" s="671">
        <v>6</v>
      </c>
      <c r="B30" s="684" t="s">
        <v>157</v>
      </c>
      <c r="C30" s="685">
        <v>0</v>
      </c>
      <c r="D30" s="685">
        <v>0</v>
      </c>
      <c r="E30" s="685">
        <v>0</v>
      </c>
      <c r="F30" s="653"/>
      <c r="G30" s="535">
        <f>+D12-D33</f>
        <v>161330.90811800025</v>
      </c>
    </row>
    <row r="31" spans="1:14" ht="20.100000000000001" customHeight="1">
      <c r="A31" s="671">
        <v>7</v>
      </c>
      <c r="B31" s="684" t="s">
        <v>65</v>
      </c>
      <c r="C31" s="685">
        <v>0</v>
      </c>
      <c r="D31" s="615">
        <v>217.46299999999999</v>
      </c>
      <c r="E31" s="685">
        <v>0</v>
      </c>
      <c r="F31" s="653"/>
      <c r="G31" s="115">
        <v>5186688235707</v>
      </c>
      <c r="H31" s="412">
        <f>+G27+G44</f>
        <v>269730.17762999982</v>
      </c>
    </row>
    <row r="32" spans="1:14" ht="20.100000000000001" customHeight="1">
      <c r="A32" s="671">
        <v>8</v>
      </c>
      <c r="B32" s="684" t="s">
        <v>73</v>
      </c>
      <c r="C32" s="685" t="s">
        <v>158</v>
      </c>
      <c r="D32" s="615">
        <v>425</v>
      </c>
      <c r="E32" s="685">
        <v>0</v>
      </c>
      <c r="F32" s="653"/>
      <c r="G32" s="533">
        <v>5165671.3610499995</v>
      </c>
      <c r="H32" s="534">
        <f>D34-G32</f>
        <v>37301.825556000695</v>
      </c>
    </row>
    <row r="33" spans="1:9" ht="20.100000000000001" customHeight="1">
      <c r="A33" s="670" t="s">
        <v>112</v>
      </c>
      <c r="B33" s="673" t="s">
        <v>159</v>
      </c>
      <c r="C33" s="620">
        <f>+C34+C35</f>
        <v>7315126</v>
      </c>
      <c r="D33" s="608">
        <f>+D34+D35</f>
        <v>8732801.7065699995</v>
      </c>
      <c r="E33" s="675">
        <f>D33/C33*100</f>
        <v>119.3800586151216</v>
      </c>
      <c r="F33" s="656" t="s">
        <v>160</v>
      </c>
      <c r="G33" s="133">
        <f>+D33+D41</f>
        <v>8732801.7065699995</v>
      </c>
      <c r="H33" s="105">
        <v>174633</v>
      </c>
      <c r="I33" s="114">
        <f>+H33+G33</f>
        <v>8907434.7065699995</v>
      </c>
    </row>
    <row r="34" spans="1:9" ht="20.100000000000001" customHeight="1">
      <c r="A34" s="671">
        <v>1</v>
      </c>
      <c r="B34" s="684" t="s">
        <v>161</v>
      </c>
      <c r="C34" s="614">
        <f>4706119-20000</f>
        <v>4686119</v>
      </c>
      <c r="D34" s="615">
        <f>5200318.186606+2655</f>
        <v>5202973.1866060002</v>
      </c>
      <c r="E34" s="678">
        <f>D34/C34*100</f>
        <v>111.0294720771282</v>
      </c>
      <c r="F34" s="653">
        <f>+D34+D57</f>
        <v>9613425.5061740018</v>
      </c>
      <c r="G34" s="105">
        <v>4358792.8538729995</v>
      </c>
      <c r="H34" s="129">
        <v>5200318186606</v>
      </c>
    </row>
    <row r="35" spans="1:9" ht="20.100000000000001" customHeight="1">
      <c r="A35" s="671">
        <v>2</v>
      </c>
      <c r="B35" s="684" t="s">
        <v>162</v>
      </c>
      <c r="C35" s="614">
        <f>+C36+C37</f>
        <v>2629007</v>
      </c>
      <c r="D35" s="615">
        <f>+D36+D37+D38</f>
        <v>3529828.5199640002</v>
      </c>
      <c r="E35" s="678">
        <f>D35/C35*100</f>
        <v>134.26470602641987</v>
      </c>
      <c r="F35" s="657"/>
      <c r="G35" s="105">
        <v>2655</v>
      </c>
      <c r="H35" s="105">
        <v>7335126</v>
      </c>
    </row>
    <row r="36" spans="1:9" ht="20.100000000000001" customHeight="1">
      <c r="A36" s="671"/>
      <c r="B36" s="686" t="s">
        <v>1362</v>
      </c>
      <c r="C36" s="627">
        <v>2463207</v>
      </c>
      <c r="D36" s="628">
        <f>2491115.468835-27908.468835</f>
        <v>2463207</v>
      </c>
      <c r="E36" s="682">
        <f>D36/C36*100</f>
        <v>100</v>
      </c>
      <c r="F36" s="654"/>
      <c r="G36" s="106">
        <f>+D36-C36</f>
        <v>0</v>
      </c>
      <c r="H36" s="105">
        <v>27908.468834999901</v>
      </c>
    </row>
    <row r="37" spans="1:9" ht="20.100000000000001" customHeight="1">
      <c r="A37" s="671"/>
      <c r="B37" s="686" t="s">
        <v>1363</v>
      </c>
      <c r="C37" s="627">
        <v>165800</v>
      </c>
      <c r="D37" s="628">
        <f>1038713.051129+27908.468835</f>
        <v>1066621.519964</v>
      </c>
      <c r="E37" s="682">
        <f>D37/C37*100</f>
        <v>643.31816644390824</v>
      </c>
      <c r="F37" s="654"/>
      <c r="G37" s="134">
        <f>+D12-D33</f>
        <v>161330.90811800025</v>
      </c>
      <c r="H37" s="105" t="s">
        <v>163</v>
      </c>
    </row>
    <row r="38" spans="1:9" ht="20.100000000000001" customHeight="1">
      <c r="A38" s="671"/>
      <c r="B38" s="686" t="s">
        <v>1365</v>
      </c>
      <c r="C38" s="687">
        <v>0</v>
      </c>
      <c r="D38" s="687">
        <v>0</v>
      </c>
      <c r="E38" s="687">
        <v>0</v>
      </c>
      <c r="F38" s="654"/>
      <c r="G38" s="106">
        <f>D33+D41</f>
        <v>8732801.7065699995</v>
      </c>
      <c r="H38" s="413">
        <v>27908468835</v>
      </c>
    </row>
    <row r="39" spans="1:9" ht="18.95" hidden="1" customHeight="1">
      <c r="A39" s="670" t="s">
        <v>130</v>
      </c>
      <c r="B39" s="673" t="s">
        <v>164</v>
      </c>
      <c r="C39" s="620"/>
      <c r="D39" s="608"/>
      <c r="E39" s="675"/>
      <c r="F39" s="656"/>
      <c r="G39" s="106">
        <f>D12+D40</f>
        <v>8894132.6146879997</v>
      </c>
    </row>
    <row r="40" spans="1:9" ht="18.95" hidden="1" customHeight="1">
      <c r="A40" s="671">
        <v>1</v>
      </c>
      <c r="B40" s="684" t="s">
        <v>165</v>
      </c>
      <c r="C40" s="614"/>
      <c r="D40" s="615"/>
      <c r="E40" s="678"/>
      <c r="F40" s="653"/>
    </row>
    <row r="41" spans="1:9" ht="18.95" hidden="1" customHeight="1">
      <c r="A41" s="671">
        <v>2</v>
      </c>
      <c r="B41" s="684" t="s">
        <v>166</v>
      </c>
      <c r="C41" s="614"/>
      <c r="D41" s="615"/>
      <c r="E41" s="678"/>
      <c r="F41" s="658"/>
      <c r="G41" s="106">
        <f>G37+G54</f>
        <v>269730.17762999982</v>
      </c>
      <c r="H41" s="105" t="s">
        <v>167</v>
      </c>
    </row>
    <row r="42" spans="1:9" ht="20.100000000000001" customHeight="1">
      <c r="A42" s="670" t="s">
        <v>130</v>
      </c>
      <c r="B42" s="673" t="s">
        <v>1321</v>
      </c>
      <c r="C42" s="687">
        <v>0</v>
      </c>
      <c r="D42" s="608">
        <f>D12-D33</f>
        <v>161330.90811800025</v>
      </c>
      <c r="E42" s="687">
        <v>0</v>
      </c>
      <c r="F42" s="659"/>
      <c r="G42" s="106"/>
    </row>
    <row r="43" spans="1:9" ht="20.100000000000001" customHeight="1">
      <c r="A43" s="670" t="s">
        <v>77</v>
      </c>
      <c r="B43" s="673" t="s">
        <v>168</v>
      </c>
      <c r="C43" s="620"/>
      <c r="D43" s="636"/>
      <c r="E43" s="675"/>
      <c r="F43" s="660" t="e">
        <f>+F44-F47</f>
        <v>#VALUE!</v>
      </c>
      <c r="G43" s="105">
        <v>9575608.2176179998</v>
      </c>
    </row>
    <row r="44" spans="1:9" ht="20.100000000000001" customHeight="1">
      <c r="A44" s="670" t="s">
        <v>108</v>
      </c>
      <c r="B44" s="673" t="s">
        <v>169</v>
      </c>
      <c r="C44" s="620">
        <f>+C45+C50</f>
        <v>3218971</v>
      </c>
      <c r="D44" s="608">
        <f>+D45+D50+D53+D54+D55+D56</f>
        <v>4518851.5890800003</v>
      </c>
      <c r="E44" s="675">
        <f>D44/C44*100</f>
        <v>140.38186703390619</v>
      </c>
      <c r="F44" s="661" t="e">
        <f>+D44-D57+"#REF!-#REF!"</f>
        <v>#VALUE!</v>
      </c>
      <c r="G44" s="114">
        <f>+D44-D57</f>
        <v>108399.26951199956</v>
      </c>
      <c r="H44" s="106" t="e">
        <f>+G44-"#REF!"</f>
        <v>#VALUE!</v>
      </c>
      <c r="I44" s="106" t="e">
        <f>+H44-"#REF!"</f>
        <v>#VALUE!</v>
      </c>
    </row>
    <row r="45" spans="1:9" ht="20.100000000000001" customHeight="1">
      <c r="A45" s="671">
        <v>1</v>
      </c>
      <c r="B45" s="684" t="s">
        <v>170</v>
      </c>
      <c r="C45" s="614">
        <f>+C47+C48</f>
        <v>651164</v>
      </c>
      <c r="D45" s="615">
        <f>+D47+D48</f>
        <v>672699.59208700014</v>
      </c>
      <c r="E45" s="678">
        <f t="shared" ref="E45:E52" si="1">D45/C45*100</f>
        <v>103.30724549990479</v>
      </c>
      <c r="F45" s="653">
        <f>816460.4+59819.5</f>
        <v>876279.9</v>
      </c>
      <c r="G45" s="114" t="e">
        <f>+D44-D50-"#REF!"</f>
        <v>#VALUE!</v>
      </c>
    </row>
    <row r="46" spans="1:9" ht="20.100000000000001" customHeight="1">
      <c r="A46" s="671"/>
      <c r="B46" s="680" t="s">
        <v>1319</v>
      </c>
      <c r="C46" s="614">
        <f>+C47+C48</f>
        <v>651164</v>
      </c>
      <c r="D46" s="633">
        <f>+D47+D48</f>
        <v>672699.59208700014</v>
      </c>
      <c r="E46" s="687">
        <v>0</v>
      </c>
      <c r="F46" s="653"/>
      <c r="G46" s="114"/>
    </row>
    <row r="47" spans="1:9" ht="18.95" hidden="1" customHeight="1">
      <c r="A47" s="671"/>
      <c r="B47" s="676" t="s">
        <v>171</v>
      </c>
      <c r="C47" s="614">
        <v>310380</v>
      </c>
      <c r="D47" s="615">
        <f>1548562.007268-D15</f>
        <v>410079.58371300017</v>
      </c>
      <c r="E47" s="678">
        <f t="shared" si="1"/>
        <v>132.1217809501257</v>
      </c>
      <c r="F47" s="653">
        <f>152790.4+37525</f>
        <v>190315.4</v>
      </c>
      <c r="G47" s="105">
        <v>2508541.653041</v>
      </c>
    </row>
    <row r="48" spans="1:9" ht="18.95" hidden="1" customHeight="1">
      <c r="A48" s="671"/>
      <c r="B48" s="676" t="s">
        <v>172</v>
      </c>
      <c r="C48" s="614">
        <v>340784</v>
      </c>
      <c r="D48" s="615">
        <v>262620.00837400003</v>
      </c>
      <c r="E48" s="678">
        <f t="shared" si="1"/>
        <v>77.063479615827049</v>
      </c>
      <c r="F48" s="653">
        <f>644+664.6+638919.1+15555.4+23.5+18.5</f>
        <v>655825.1</v>
      </c>
      <c r="G48" s="135">
        <v>1695.9966790000001</v>
      </c>
      <c r="H48" s="106">
        <f>+D47-G48</f>
        <v>408383.5870340002</v>
      </c>
    </row>
    <row r="49" spans="1:10" ht="20.100000000000001" customHeight="1">
      <c r="A49" s="671"/>
      <c r="B49" s="680" t="s">
        <v>1320</v>
      </c>
      <c r="C49" s="687">
        <v>0</v>
      </c>
      <c r="D49" s="687">
        <v>0</v>
      </c>
      <c r="E49" s="687">
        <v>0</v>
      </c>
      <c r="F49" s="653"/>
      <c r="G49" s="135"/>
      <c r="H49" s="106"/>
    </row>
    <row r="50" spans="1:10" ht="20.100000000000001" customHeight="1">
      <c r="A50" s="671">
        <v>2</v>
      </c>
      <c r="B50" s="684" t="s">
        <v>173</v>
      </c>
      <c r="C50" s="614">
        <f>+C51+C52</f>
        <v>2567807</v>
      </c>
      <c r="D50" s="615">
        <f>+D51+D52</f>
        <v>3529828.5199640002</v>
      </c>
      <c r="E50" s="678">
        <f t="shared" si="1"/>
        <v>137.46471288395117</v>
      </c>
      <c r="F50" s="653"/>
      <c r="G50" s="481">
        <f>D44-D57</f>
        <v>108399.26951199956</v>
      </c>
      <c r="H50" s="106">
        <f>+G55-G50</f>
        <v>4.3655745685100555E-10</v>
      </c>
    </row>
    <row r="51" spans="1:10" ht="20.100000000000001" customHeight="1">
      <c r="A51" s="671"/>
      <c r="B51" s="686" t="s">
        <v>1362</v>
      </c>
      <c r="C51" s="627">
        <v>2402007</v>
      </c>
      <c r="D51" s="628">
        <v>2463207</v>
      </c>
      <c r="E51" s="682">
        <f t="shared" si="1"/>
        <v>102.54786934426086</v>
      </c>
      <c r="F51" s="654"/>
      <c r="G51" s="136">
        <v>97106.398875000014</v>
      </c>
      <c r="H51" s="106">
        <f>D44+D59</f>
        <v>4518851.5890800003</v>
      </c>
    </row>
    <row r="52" spans="1:10" ht="20.100000000000001" customHeight="1">
      <c r="A52" s="671"/>
      <c r="B52" s="686" t="s">
        <v>1363</v>
      </c>
      <c r="C52" s="627">
        <f>C37</f>
        <v>165800</v>
      </c>
      <c r="D52" s="628">
        <v>1066621.519964</v>
      </c>
      <c r="E52" s="682">
        <f t="shared" si="1"/>
        <v>643.31816644390824</v>
      </c>
      <c r="F52" s="654"/>
      <c r="G52" s="105">
        <v>338390.29227899999</v>
      </c>
    </row>
    <row r="53" spans="1:10" ht="20.100000000000001" customHeight="1">
      <c r="A53" s="671">
        <v>3</v>
      </c>
      <c r="B53" s="684" t="s">
        <v>127</v>
      </c>
      <c r="C53" s="687">
        <v>0</v>
      </c>
      <c r="D53" s="615">
        <f>208973.694973+18499.965308</f>
        <v>227473.66028100002</v>
      </c>
      <c r="E53" s="687">
        <v>0</v>
      </c>
      <c r="F53" s="662"/>
      <c r="G53" s="136">
        <v>18499.965307999999</v>
      </c>
    </row>
    <row r="54" spans="1:10" ht="20.100000000000001" customHeight="1">
      <c r="A54" s="671">
        <v>4</v>
      </c>
      <c r="B54" s="684" t="s">
        <v>129</v>
      </c>
      <c r="C54" s="687">
        <v>0</v>
      </c>
      <c r="D54" s="615">
        <f>47887.595966+15246.621735</f>
        <v>63134.217701000001</v>
      </c>
      <c r="E54" s="687">
        <v>0</v>
      </c>
      <c r="F54" s="663"/>
      <c r="G54" s="106">
        <f>+D44-D57</f>
        <v>108399.26951199956</v>
      </c>
      <c r="H54" s="105" t="s">
        <v>174</v>
      </c>
    </row>
    <row r="55" spans="1:10" ht="20.100000000000001" customHeight="1">
      <c r="A55" s="671">
        <v>5</v>
      </c>
      <c r="B55" s="684" t="s">
        <v>65</v>
      </c>
      <c r="C55" s="687">
        <v>0</v>
      </c>
      <c r="D55" s="615">
        <v>298</v>
      </c>
      <c r="E55" s="687">
        <v>0</v>
      </c>
      <c r="F55" s="663"/>
      <c r="G55" s="105">
        <v>108399.269512</v>
      </c>
      <c r="H55" s="106">
        <f>+G54-G55</f>
        <v>-4.3655745685100555E-10</v>
      </c>
    </row>
    <row r="56" spans="1:10" ht="20.100000000000001" customHeight="1">
      <c r="A56" s="671">
        <v>6</v>
      </c>
      <c r="B56" s="684" t="s">
        <v>73</v>
      </c>
      <c r="C56" s="687">
        <v>0</v>
      </c>
      <c r="D56" s="615">
        <f>5773.868+19643.731047</f>
        <v>25417.599047000003</v>
      </c>
      <c r="E56" s="687">
        <v>0</v>
      </c>
      <c r="F56" s="664"/>
      <c r="G56" s="536">
        <v>1548562.0072679999</v>
      </c>
      <c r="H56" s="106">
        <v>1572792.8819250001</v>
      </c>
    </row>
    <row r="57" spans="1:10" ht="20.100000000000001" customHeight="1">
      <c r="A57" s="670" t="s">
        <v>112</v>
      </c>
      <c r="B57" s="673" t="s">
        <v>175</v>
      </c>
      <c r="C57" s="620">
        <v>3310171</v>
      </c>
      <c r="D57" s="608">
        <f>3435937.585345+973999.271223+217.463+298</f>
        <v>4410452.3195680007</v>
      </c>
      <c r="E57" s="675">
        <f>D57/C57*100</f>
        <v>133.23941027723342</v>
      </c>
      <c r="F57" s="665"/>
      <c r="G57" s="106">
        <v>2992178316584</v>
      </c>
      <c r="H57" s="106">
        <v>897517769193</v>
      </c>
      <c r="I57" s="106"/>
    </row>
    <row r="58" spans="1:10" ht="18.95" hidden="1" customHeight="1">
      <c r="A58" s="670" t="s">
        <v>130</v>
      </c>
      <c r="B58" s="673" t="s">
        <v>176</v>
      </c>
      <c r="C58" s="620"/>
      <c r="D58" s="608"/>
      <c r="E58" s="675" t="e">
        <f t="shared" ref="E58:E63" si="2">D58/C58*100</f>
        <v>#DIV/0!</v>
      </c>
      <c r="F58" s="666"/>
      <c r="G58" s="136">
        <v>3435937.585345</v>
      </c>
      <c r="H58" s="136">
        <v>973999.2712229999</v>
      </c>
      <c r="I58" s="106"/>
      <c r="J58" s="106"/>
    </row>
    <row r="59" spans="1:10" ht="18.95" hidden="1" customHeight="1">
      <c r="A59" s="670"/>
      <c r="B59" s="684" t="s">
        <v>165</v>
      </c>
      <c r="C59" s="614"/>
      <c r="D59" s="615"/>
      <c r="E59" s="675" t="e">
        <f t="shared" si="2"/>
        <v>#DIV/0!</v>
      </c>
      <c r="F59" s="666"/>
      <c r="H59" s="136">
        <v>15246.621735000001</v>
      </c>
    </row>
    <row r="60" spans="1:10" ht="20.100000000000001" customHeight="1">
      <c r="A60" s="671">
        <v>1</v>
      </c>
      <c r="B60" s="684" t="s">
        <v>1322</v>
      </c>
      <c r="C60" s="614">
        <f>+C57-C61</f>
        <v>2525019.4887339999</v>
      </c>
      <c r="D60" s="615">
        <f>+D57-D61-D64</f>
        <v>3330783.1046730005</v>
      </c>
      <c r="E60" s="678">
        <f t="shared" si="2"/>
        <v>131.91118403379122</v>
      </c>
      <c r="F60" s="665"/>
      <c r="G60" s="106">
        <f>+D42+D65</f>
        <v>269730.17762999982</v>
      </c>
      <c r="H60" s="136"/>
    </row>
    <row r="61" spans="1:10" ht="20.100000000000001" customHeight="1">
      <c r="A61" s="671">
        <v>2</v>
      </c>
      <c r="B61" s="684" t="s">
        <v>68</v>
      </c>
      <c r="C61" s="614">
        <f>+C62+C63</f>
        <v>785151.51126599999</v>
      </c>
      <c r="D61" s="615">
        <f>+D62+D63</f>
        <v>871880.28951799998</v>
      </c>
      <c r="E61" s="678">
        <f t="shared" si="2"/>
        <v>111.04612001728891</v>
      </c>
      <c r="F61" s="665"/>
      <c r="H61" s="136"/>
    </row>
    <row r="62" spans="1:10" ht="20.100000000000001" customHeight="1">
      <c r="A62" s="671"/>
      <c r="B62" s="686" t="s">
        <v>1323</v>
      </c>
      <c r="C62" s="627">
        <f>+D62</f>
        <v>558151.51126599999</v>
      </c>
      <c r="D62" s="628">
        <f>+'TH CHI_62_342_51_52_53_31'!I93</f>
        <v>558151.51126599999</v>
      </c>
      <c r="E62" s="682">
        <f t="shared" si="2"/>
        <v>100</v>
      </c>
      <c r="F62" s="665"/>
      <c r="H62" s="136"/>
    </row>
    <row r="63" spans="1:10" ht="20.100000000000001" customHeight="1">
      <c r="A63" s="671"/>
      <c r="B63" s="686" t="s">
        <v>1324</v>
      </c>
      <c r="C63" s="627">
        <v>227000</v>
      </c>
      <c r="D63" s="628">
        <f>+'TH CHI_62_342_51_52_53_31'!I95</f>
        <v>313728.77825199999</v>
      </c>
      <c r="E63" s="682">
        <f t="shared" si="2"/>
        <v>138.20651024317181</v>
      </c>
      <c r="F63" s="665"/>
      <c r="H63" s="136"/>
    </row>
    <row r="64" spans="1:10" ht="20.100000000000001" customHeight="1">
      <c r="A64" s="671">
        <v>3</v>
      </c>
      <c r="B64" s="688" t="s">
        <v>135</v>
      </c>
      <c r="C64" s="687">
        <v>0</v>
      </c>
      <c r="D64" s="615">
        <f>+'TH CHI_62_342_51_52_53_31'!I77+'TH CHI_62_342_51_52_53_31'!L77</f>
        <v>207788.92537700001</v>
      </c>
      <c r="E64" s="687">
        <v>0</v>
      </c>
      <c r="F64" s="665"/>
      <c r="H64" s="136"/>
    </row>
    <row r="65" spans="1:9" ht="20.100000000000001" customHeight="1">
      <c r="A65" s="670" t="s">
        <v>130</v>
      </c>
      <c r="B65" s="673" t="s">
        <v>1325</v>
      </c>
      <c r="C65" s="620">
        <v>0</v>
      </c>
      <c r="D65" s="608">
        <f>D44-D57</f>
        <v>108399.26951199956</v>
      </c>
      <c r="E65" s="675">
        <v>0</v>
      </c>
      <c r="F65" s="667"/>
      <c r="G65" s="106">
        <v>233179120993</v>
      </c>
      <c r="H65" s="106">
        <v>66610850656</v>
      </c>
    </row>
    <row r="66" spans="1:9" s="120" customFormat="1" ht="21" customHeight="1">
      <c r="B66" s="121"/>
      <c r="C66" s="137"/>
      <c r="D66" s="121"/>
      <c r="E66" s="122"/>
      <c r="F66" s="124"/>
      <c r="G66" s="136">
        <v>217.46299999999999</v>
      </c>
      <c r="H66" s="313">
        <f>H56-G56</f>
        <v>24230.874657000182</v>
      </c>
      <c r="I66" s="120">
        <f>225-239</f>
        <v>-14</v>
      </c>
    </row>
    <row r="67" spans="1:9">
      <c r="B67" s="125"/>
      <c r="C67" s="125"/>
      <c r="D67" s="125"/>
      <c r="E67" s="125"/>
      <c r="F67" s="128"/>
      <c r="G67" s="136">
        <v>298</v>
      </c>
    </row>
    <row r="68" spans="1:9">
      <c r="B68" s="106"/>
      <c r="C68" s="126"/>
      <c r="D68" s="126"/>
      <c r="E68" s="126"/>
    </row>
    <row r="69" spans="1:9">
      <c r="F69" s="105">
        <v>19643.731047000001</v>
      </c>
    </row>
    <row r="70" spans="1:9">
      <c r="F70" s="105">
        <v>1572792.8819250001</v>
      </c>
    </row>
  </sheetData>
  <sheetProtection selectLockedCells="1" selectUnlockedCells="1"/>
  <mergeCells count="4">
    <mergeCell ref="D1:E1"/>
    <mergeCell ref="D7:E7"/>
    <mergeCell ref="A4:E4"/>
    <mergeCell ref="A5:E5"/>
  </mergeCells>
  <phoneticPr fontId="160" type="noConversion"/>
  <printOptions horizontalCentered="1"/>
  <pageMargins left="0.19685039370078741" right="0.19685039370078741" top="0.59055118110236227" bottom="0.59055118110236227" header="0" footer="0.19685039370078741"/>
  <pageSetup paperSize="9" firstPageNumber="0" orientation="portrait" r:id="rId1"/>
  <headerFooter differentFirst="1" alignWithMargins="0">
    <oddFooter>&amp;C&amp;"Times New Roman,Regular"&amp;12&amp;P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41"/>
  <sheetViews>
    <sheetView topLeftCell="C7" zoomScale="180" zoomScaleNormal="180" workbookViewId="0">
      <selection activeCell="S15" sqref="S15"/>
    </sheetView>
  </sheetViews>
  <sheetFormatPr defaultRowHeight="15.75"/>
  <cols>
    <col min="1" max="1" width="48.28515625" style="138" customWidth="1"/>
    <col min="2" max="2" width="13.28515625" style="138" hidden="1" customWidth="1"/>
    <col min="3" max="3" width="8.42578125" style="138" customWidth="1"/>
    <col min="4" max="4" width="11.42578125" style="138" customWidth="1"/>
    <col min="5" max="5" width="11.28515625" style="138" customWidth="1"/>
    <col min="6" max="6" width="12" style="138" hidden="1" customWidth="1"/>
    <col min="7" max="8" width="13" style="138" hidden="1" customWidth="1"/>
    <col min="9" max="9" width="13.42578125" style="138" hidden="1" customWidth="1"/>
    <col min="10" max="10" width="9" style="138" customWidth="1"/>
    <col min="11" max="11" width="9" style="139" customWidth="1"/>
    <col min="12" max="12" width="0" style="139" hidden="1" customWidth="1"/>
    <col min="13" max="13" width="16" style="139" hidden="1" customWidth="1"/>
    <col min="14" max="14" width="17" style="139" hidden="1" customWidth="1"/>
    <col min="15" max="15" width="14.42578125" style="139" hidden="1" customWidth="1"/>
    <col min="16" max="16" width="13.28515625" style="139" hidden="1" customWidth="1"/>
    <col min="17" max="17" width="0" style="139" hidden="1" customWidth="1"/>
    <col min="18" max="18" width="10.140625" style="139" bestFit="1" customWidth="1"/>
    <col min="19" max="16384" width="9.140625" style="139"/>
  </cols>
  <sheetData>
    <row r="1" spans="1:18" ht="17.100000000000001" customHeight="1">
      <c r="A1" s="711" t="s">
        <v>1355</v>
      </c>
      <c r="B1" s="712"/>
      <c r="C1" s="712"/>
      <c r="D1" s="712"/>
      <c r="E1" s="712"/>
      <c r="F1" s="712"/>
      <c r="G1" s="712"/>
      <c r="H1" s="712"/>
      <c r="I1" s="712"/>
      <c r="J1" s="1015" t="s">
        <v>1441</v>
      </c>
      <c r="K1" s="1015"/>
    </row>
    <row r="2" spans="1:18" ht="17.100000000000001" customHeight="1">
      <c r="A2" s="711" t="s">
        <v>1360</v>
      </c>
      <c r="B2" s="712"/>
      <c r="C2" s="712"/>
      <c r="D2" s="712"/>
      <c r="E2" s="712"/>
      <c r="F2" s="712"/>
      <c r="G2" s="712"/>
      <c r="H2" s="712"/>
      <c r="I2" s="713"/>
      <c r="J2" s="713"/>
      <c r="K2" s="714"/>
      <c r="L2" s="140"/>
      <c r="M2" s="142">
        <v>14244945.773980999</v>
      </c>
      <c r="N2" s="142">
        <v>8530937.6147980001</v>
      </c>
      <c r="O2" s="142">
        <f>+N4-N2</f>
        <v>21016.874656999484</v>
      </c>
      <c r="P2" s="142">
        <f>+G10-N2</f>
        <v>363195</v>
      </c>
    </row>
    <row r="3" spans="1:18" ht="27" customHeight="1">
      <c r="A3" s="711"/>
      <c r="B3" s="712"/>
      <c r="C3" s="712"/>
      <c r="D3" s="712"/>
      <c r="E3" s="712"/>
      <c r="F3" s="712"/>
      <c r="G3" s="712"/>
      <c r="H3" s="712"/>
      <c r="I3" s="713"/>
      <c r="J3" s="713"/>
      <c r="K3" s="714"/>
      <c r="L3" s="140"/>
      <c r="M3" s="142"/>
      <c r="N3" s="142"/>
      <c r="O3" s="142"/>
      <c r="P3" s="142"/>
    </row>
    <row r="4" spans="1:18" ht="24" customHeight="1">
      <c r="A4" s="996" t="s">
        <v>1330</v>
      </c>
      <c r="B4" s="996"/>
      <c r="C4" s="996"/>
      <c r="D4" s="996"/>
      <c r="E4" s="996"/>
      <c r="F4" s="996"/>
      <c r="G4" s="996"/>
      <c r="H4" s="996"/>
      <c r="I4" s="996"/>
      <c r="J4" s="996"/>
      <c r="K4" s="996"/>
      <c r="L4" s="141"/>
      <c r="M4" s="486">
        <f>D10-M2</f>
        <v>363195.00000000186</v>
      </c>
      <c r="N4" s="139">
        <v>8551954.4894549996</v>
      </c>
      <c r="O4" s="139">
        <v>3214</v>
      </c>
    </row>
    <row r="5" spans="1:18" ht="24" customHeight="1">
      <c r="A5" s="997" t="s">
        <v>1358</v>
      </c>
      <c r="B5" s="997"/>
      <c r="C5" s="997"/>
      <c r="D5" s="997"/>
      <c r="E5" s="997"/>
      <c r="F5" s="997"/>
      <c r="G5" s="997"/>
      <c r="H5" s="997"/>
      <c r="I5" s="997"/>
      <c r="J5" s="997"/>
      <c r="K5" s="997"/>
      <c r="L5" s="141"/>
      <c r="M5" s="486"/>
    </row>
    <row r="6" spans="1:18" ht="24" customHeight="1">
      <c r="A6" s="715"/>
      <c r="B6" s="715"/>
      <c r="C6" s="715"/>
      <c r="D6" s="715"/>
      <c r="E6" s="715"/>
      <c r="F6" s="715"/>
      <c r="G6" s="715"/>
      <c r="H6" s="715"/>
      <c r="I6" s="715"/>
      <c r="J6" s="715"/>
      <c r="K6" s="715"/>
      <c r="L6" s="141"/>
      <c r="M6" s="486"/>
    </row>
    <row r="7" spans="1:18" ht="22.5" customHeight="1">
      <c r="E7" s="998" t="s">
        <v>38</v>
      </c>
      <c r="F7" s="998"/>
      <c r="G7" s="998"/>
      <c r="H7" s="998"/>
      <c r="I7" s="998"/>
      <c r="J7" s="998"/>
      <c r="K7" s="998"/>
      <c r="L7" s="140"/>
      <c r="N7" s="142">
        <f>+G10-N2</f>
        <v>363195</v>
      </c>
      <c r="O7" s="142">
        <f>+O2+O4</f>
        <v>24230.874656999484</v>
      </c>
    </row>
    <row r="8" spans="1:18" ht="49.5" customHeight="1">
      <c r="A8" s="692" t="s">
        <v>144</v>
      </c>
      <c r="B8" s="999" t="s">
        <v>1314</v>
      </c>
      <c r="C8" s="999"/>
      <c r="D8" s="692" t="s">
        <v>1367</v>
      </c>
      <c r="E8" s="692" t="s">
        <v>1366</v>
      </c>
      <c r="F8" s="999" t="s">
        <v>179</v>
      </c>
      <c r="G8" s="999"/>
      <c r="H8" s="999"/>
      <c r="I8" s="999"/>
      <c r="J8" s="999" t="s">
        <v>1327</v>
      </c>
      <c r="K8" s="999"/>
      <c r="L8" s="145"/>
      <c r="M8" s="139">
        <v>1695</v>
      </c>
    </row>
    <row r="9" spans="1:18" s="577" customFormat="1" ht="18.95" customHeight="1">
      <c r="A9" s="716" t="s">
        <v>51</v>
      </c>
      <c r="B9" s="716">
        <v>1</v>
      </c>
      <c r="C9" s="716">
        <v>1</v>
      </c>
      <c r="D9" s="716">
        <v>2</v>
      </c>
      <c r="E9" s="716">
        <v>3</v>
      </c>
      <c r="F9" s="716">
        <v>4</v>
      </c>
      <c r="G9" s="716">
        <v>5</v>
      </c>
      <c r="H9" s="716">
        <v>6</v>
      </c>
      <c r="I9" s="716">
        <v>7</v>
      </c>
      <c r="J9" s="717" t="s">
        <v>1328</v>
      </c>
      <c r="K9" s="718" t="s">
        <v>1329</v>
      </c>
      <c r="L9" s="153"/>
      <c r="M9" s="577">
        <v>1002733.275436</v>
      </c>
      <c r="N9" s="578">
        <f>I10-M9</f>
        <v>0</v>
      </c>
    </row>
    <row r="10" spans="1:18" ht="18.95" customHeight="1">
      <c r="A10" s="705" t="s">
        <v>1332</v>
      </c>
      <c r="B10" s="693">
        <f t="shared" ref="B10:I10" si="0">B11+B85+B92+B99+B100</f>
        <v>4237000</v>
      </c>
      <c r="C10" s="719">
        <f>C11+C85+C92+C99+C100</f>
        <v>4237000</v>
      </c>
      <c r="D10" s="698">
        <f>D11+D85+D92+D99+D100+D123</f>
        <v>14608140.773981001</v>
      </c>
      <c r="E10" s="698">
        <f>E11+E85+E92+E99+E100+E123</f>
        <v>9883155.6839140002</v>
      </c>
      <c r="F10" s="698">
        <f>F11+F85+F92+F99+F100</f>
        <v>323276.280585</v>
      </c>
      <c r="G10" s="698">
        <f>G11+G85+G92+G99+G100</f>
        <v>8894132.6147980001</v>
      </c>
      <c r="H10" s="698">
        <f>H11+H85+H92+H99+H100+H123</f>
        <v>4387998.6031620009</v>
      </c>
      <c r="I10" s="698">
        <f t="shared" si="0"/>
        <v>1002733.2754360001</v>
      </c>
      <c r="J10" s="698">
        <f>D10/C10*100</f>
        <v>344.77556700450793</v>
      </c>
      <c r="K10" s="698">
        <f>E10/C10*100</f>
        <v>233.25833570719848</v>
      </c>
      <c r="L10" s="157"/>
      <c r="M10" s="139">
        <v>14123853.669837</v>
      </c>
      <c r="N10" s="142">
        <f>M10-D10</f>
        <v>-484287.10414400138</v>
      </c>
      <c r="O10" s="142">
        <f>+D11-D12</f>
        <v>42746.113675999455</v>
      </c>
    </row>
    <row r="11" spans="1:18" ht="18.95" customHeight="1">
      <c r="A11" s="706" t="s">
        <v>1371</v>
      </c>
      <c r="B11" s="693">
        <f>B12+B72+B78+B79+B82</f>
        <v>4237000</v>
      </c>
      <c r="C11" s="719">
        <f>+C12+C72</f>
        <v>4237000</v>
      </c>
      <c r="D11" s="698">
        <f t="shared" ref="D11:I11" si="1">D12+D72+D78+D79+D82</f>
        <v>4197812.3890419994</v>
      </c>
      <c r="E11" s="698">
        <f>E12+E72+E78+E79+E82</f>
        <v>3877191.108457</v>
      </c>
      <c r="F11" s="698">
        <f t="shared" si="1"/>
        <v>320621.280585</v>
      </c>
      <c r="G11" s="698">
        <f t="shared" si="1"/>
        <v>3179073.9173230003</v>
      </c>
      <c r="H11" s="698">
        <f t="shared" si="1"/>
        <v>601010.79225900001</v>
      </c>
      <c r="I11" s="698">
        <f t="shared" si="1"/>
        <v>97106.398875000014</v>
      </c>
      <c r="J11" s="698">
        <f t="shared" ref="J11:J72" si="2">D11/C11*100</f>
        <v>99.075109488836418</v>
      </c>
      <c r="K11" s="698">
        <f t="shared" ref="K11:K71" si="3">E11/C11*100</f>
        <v>91.507932699008734</v>
      </c>
      <c r="L11" s="159">
        <f>+(D12+D72)/(C12+C72)*100</f>
        <v>98.465182676303982</v>
      </c>
      <c r="M11" s="160"/>
      <c r="N11" s="160"/>
      <c r="O11" s="142">
        <f>+N15+O15</f>
        <v>3851348.5094099999</v>
      </c>
      <c r="R11" s="142"/>
    </row>
    <row r="12" spans="1:18" s="162" customFormat="1" ht="18.95" customHeight="1">
      <c r="A12" s="706" t="s">
        <v>1370</v>
      </c>
      <c r="B12" s="693">
        <f>B13+B22+B31+B38+B46+B47+B48+B49+B50+B53+B54+B55+B56+B57+B58+B59+B45+B65</f>
        <v>4117000</v>
      </c>
      <c r="C12" s="719">
        <f>+C13+C22+C31+C38+C45+C46+C47+C48+C49+C50+C53+C54+C56+C57+C58+C59</f>
        <v>4117000</v>
      </c>
      <c r="D12" s="698">
        <f t="shared" ref="D12:I12" si="4">D13+D22+D31+D38+D46+D47+D48+D49+D50+D53+D54+D55+D56+D57+D58+D59+D45+D65</f>
        <v>4155066.2753659999</v>
      </c>
      <c r="E12" s="698">
        <f t="shared" si="4"/>
        <v>3851348.5094099999</v>
      </c>
      <c r="F12" s="698">
        <f t="shared" si="4"/>
        <v>303717.76595600002</v>
      </c>
      <c r="G12" s="698">
        <f t="shared" si="4"/>
        <v>3178648.9173230003</v>
      </c>
      <c r="H12" s="698">
        <f t="shared" si="4"/>
        <v>595236.92425899999</v>
      </c>
      <c r="I12" s="698">
        <f t="shared" si="4"/>
        <v>77462.667828000005</v>
      </c>
      <c r="J12" s="698">
        <f t="shared" si="2"/>
        <v>100.92461198362885</v>
      </c>
      <c r="K12" s="698">
        <f t="shared" si="3"/>
        <v>93.547449827787219</v>
      </c>
      <c r="L12" s="159" t="e">
        <f>D12/"#REF!*100"</f>
        <v>#VALUE!</v>
      </c>
      <c r="M12" s="156">
        <f>+D12/32596.1389</f>
        <v>127.47111822394399</v>
      </c>
      <c r="N12" s="139" t="s">
        <v>193</v>
      </c>
      <c r="O12" s="161">
        <f>D12-F12+G72</f>
        <v>3851348.5094099999</v>
      </c>
    </row>
    <row r="13" spans="1:18" s="162" customFormat="1" ht="18.95" customHeight="1">
      <c r="A13" s="706" t="s">
        <v>1369</v>
      </c>
      <c r="B13" s="693">
        <f>SUM(B14:B21)</f>
        <v>1429900</v>
      </c>
      <c r="C13" s="719">
        <f>SUM(C14:C21)</f>
        <v>1454000</v>
      </c>
      <c r="D13" s="698">
        <f>+F13+G13+H13+I13</f>
        <v>1186931.9601680001</v>
      </c>
      <c r="E13" s="698">
        <f>+E14+E15+E16+E17+E18+E19+E20+E21</f>
        <v>1186909.384506</v>
      </c>
      <c r="F13" s="698">
        <f>SUM(F14:F21)</f>
        <v>22.575662000000001</v>
      </c>
      <c r="G13" s="698">
        <f>SUM(G14:G21)</f>
        <v>1186909.384506</v>
      </c>
      <c r="H13" s="698">
        <f>SUM(H14:H21)</f>
        <v>0</v>
      </c>
      <c r="I13" s="698">
        <f>SUM(I14:I21)</f>
        <v>0</v>
      </c>
      <c r="J13" s="698">
        <f t="shared" si="2"/>
        <v>81.632184330674008</v>
      </c>
      <c r="K13" s="698">
        <f t="shared" si="3"/>
        <v>81.630631671664375</v>
      </c>
      <c r="L13" s="159" t="e">
        <f>D13/"#REF!*100"</f>
        <v>#VALUE!</v>
      </c>
      <c r="M13" s="164">
        <v>1237865.3</v>
      </c>
      <c r="N13" s="162" t="s">
        <v>195</v>
      </c>
      <c r="O13" s="165">
        <f>+G12+G72</f>
        <v>3178648.9173230003</v>
      </c>
    </row>
    <row r="14" spans="1:18" ht="18.95" customHeight="1">
      <c r="A14" s="707" t="s">
        <v>1368</v>
      </c>
      <c r="B14" s="694">
        <v>1089100</v>
      </c>
      <c r="C14" s="720">
        <f>1113070</f>
        <v>1113070</v>
      </c>
      <c r="D14" s="699">
        <f>+F14+G14+H14+I14</f>
        <v>899855.58959800005</v>
      </c>
      <c r="E14" s="699">
        <f>+G14+H14+I14</f>
        <v>899855.58959800005</v>
      </c>
      <c r="F14" s="700">
        <v>0</v>
      </c>
      <c r="G14" s="699">
        <v>899855.58959800005</v>
      </c>
      <c r="H14" s="700">
        <v>0</v>
      </c>
      <c r="I14" s="700">
        <v>0</v>
      </c>
      <c r="J14" s="699">
        <f t="shared" si="2"/>
        <v>80.844474255707183</v>
      </c>
      <c r="K14" s="699">
        <f t="shared" si="3"/>
        <v>80.844474255707183</v>
      </c>
      <c r="L14" s="169" t="e">
        <f>D14/"#REF!*100"</f>
        <v>#VALUE!</v>
      </c>
      <c r="M14" s="170" t="s">
        <v>197</v>
      </c>
      <c r="N14" s="139" t="s">
        <v>198</v>
      </c>
      <c r="O14" s="139" t="s">
        <v>199</v>
      </c>
    </row>
    <row r="15" spans="1:18" ht="18.95" customHeight="1">
      <c r="A15" s="707" t="s">
        <v>1372</v>
      </c>
      <c r="B15" s="695">
        <v>0</v>
      </c>
      <c r="C15" s="700">
        <v>0</v>
      </c>
      <c r="D15" s="700">
        <f>+F15+G15+H15+I15</f>
        <v>0</v>
      </c>
      <c r="E15" s="700">
        <f t="shared" ref="E15:E67" si="5">+G15+H15+I15</f>
        <v>0</v>
      </c>
      <c r="F15" s="700">
        <v>0</v>
      </c>
      <c r="G15" s="700">
        <v>0</v>
      </c>
      <c r="H15" s="700">
        <v>0</v>
      </c>
      <c r="I15" s="700">
        <v>0</v>
      </c>
      <c r="J15" s="700">
        <v>0</v>
      </c>
      <c r="K15" s="700">
        <v>0</v>
      </c>
      <c r="L15" s="169"/>
      <c r="M15" s="172" t="e">
        <f>+H28+H30+H43+H44+H46+"#REF!+G48+#REF!+G63"</f>
        <v>#VALUE!</v>
      </c>
      <c r="N15" s="173">
        <f>D14+D15+D16+D23+D24+D25+D32+D33+D39+D40+D41+D48+D49-F40-F49</f>
        <v>2302786.5021419995</v>
      </c>
      <c r="O15" s="142">
        <f>+O12-N15</f>
        <v>1548562.0072680004</v>
      </c>
      <c r="P15" s="139">
        <v>1695.9966790000001</v>
      </c>
    </row>
    <row r="16" spans="1:18" ht="18.95" customHeight="1">
      <c r="A16" s="707" t="s">
        <v>1373</v>
      </c>
      <c r="B16" s="694">
        <v>340000</v>
      </c>
      <c r="C16" s="720">
        <f>340000</f>
        <v>340000</v>
      </c>
      <c r="D16" s="699">
        <f t="shared" ref="D16:D64" si="6">+F16+G16+H16+I16</f>
        <v>285646.499862</v>
      </c>
      <c r="E16" s="699">
        <f t="shared" si="5"/>
        <v>285646.499862</v>
      </c>
      <c r="F16" s="700">
        <v>0</v>
      </c>
      <c r="G16" s="699">
        <v>285646.499862</v>
      </c>
      <c r="H16" s="700">
        <v>0</v>
      </c>
      <c r="I16" s="700">
        <v>0</v>
      </c>
      <c r="J16" s="699">
        <f t="shared" si="2"/>
        <v>84.01367642999999</v>
      </c>
      <c r="K16" s="699">
        <f t="shared" si="3"/>
        <v>84.01367642999999</v>
      </c>
      <c r="L16" s="169" t="e">
        <f>D16/"#REF!*100"</f>
        <v>#VALUE!</v>
      </c>
      <c r="M16" s="174" t="e">
        <f>+I30+I43+I46+"#REF!+H48+#REF!+H57"</f>
        <v>#VALUE!</v>
      </c>
      <c r="N16" s="175" t="s">
        <v>202</v>
      </c>
      <c r="P16" s="142">
        <f>+O15+P15</f>
        <v>1550258.0039470005</v>
      </c>
    </row>
    <row r="17" spans="1:15" ht="18.95" customHeight="1">
      <c r="A17" s="707" t="s">
        <v>1374</v>
      </c>
      <c r="B17" s="695">
        <v>0</v>
      </c>
      <c r="C17" s="700">
        <v>0</v>
      </c>
      <c r="D17" s="700">
        <f t="shared" si="6"/>
        <v>0</v>
      </c>
      <c r="E17" s="699">
        <f t="shared" si="5"/>
        <v>0</v>
      </c>
      <c r="F17" s="700">
        <v>0</v>
      </c>
      <c r="G17" s="700">
        <v>0</v>
      </c>
      <c r="H17" s="700">
        <v>0</v>
      </c>
      <c r="I17" s="700">
        <v>0</v>
      </c>
      <c r="J17" s="699"/>
      <c r="K17" s="699"/>
      <c r="L17" s="169"/>
      <c r="M17" s="176" t="e">
        <f>M15+M16</f>
        <v>#VALUE!</v>
      </c>
      <c r="N17" s="173">
        <f>G14+G15+G16+G23+G24+G25+G32+G33+G39+G40+G41+G48+G49</f>
        <v>2040166.4937679998</v>
      </c>
      <c r="O17" s="142">
        <f>+O13-N17</f>
        <v>1138482.4235550005</v>
      </c>
    </row>
    <row r="18" spans="1:15" ht="18.95" customHeight="1">
      <c r="A18" s="707" t="s">
        <v>1375</v>
      </c>
      <c r="B18" s="694">
        <v>800</v>
      </c>
      <c r="C18" s="720">
        <f>800</f>
        <v>800</v>
      </c>
      <c r="D18" s="699">
        <f t="shared" si="6"/>
        <v>1392.25197</v>
      </c>
      <c r="E18" s="699">
        <f t="shared" si="5"/>
        <v>1392.25197</v>
      </c>
      <c r="F18" s="700">
        <v>0</v>
      </c>
      <c r="G18" s="699">
        <v>1392.25197</v>
      </c>
      <c r="H18" s="700">
        <v>0</v>
      </c>
      <c r="I18" s="700">
        <v>0</v>
      </c>
      <c r="J18" s="699">
        <f t="shared" si="2"/>
        <v>174.03149625</v>
      </c>
      <c r="K18" s="699">
        <f t="shared" si="3"/>
        <v>174.03149625</v>
      </c>
      <c r="L18" s="169"/>
      <c r="N18" s="139">
        <v>2</v>
      </c>
      <c r="O18" s="142">
        <f>O15+N15</f>
        <v>3851348.5094099999</v>
      </c>
    </row>
    <row r="19" spans="1:15" ht="18.95" customHeight="1">
      <c r="A19" s="707" t="s">
        <v>1376</v>
      </c>
      <c r="B19" s="695">
        <v>0</v>
      </c>
      <c r="C19" s="700">
        <v>0</v>
      </c>
      <c r="D19" s="699">
        <f t="shared" si="6"/>
        <v>0.5</v>
      </c>
      <c r="E19" s="699">
        <f t="shared" si="5"/>
        <v>0.5</v>
      </c>
      <c r="F19" s="700">
        <v>0</v>
      </c>
      <c r="G19" s="699">
        <v>0.5</v>
      </c>
      <c r="H19" s="700">
        <v>0</v>
      </c>
      <c r="I19" s="700">
        <v>0</v>
      </c>
      <c r="J19" s="700">
        <v>0</v>
      </c>
      <c r="K19" s="700">
        <v>0</v>
      </c>
      <c r="L19" s="169" t="e">
        <f>D19/"#REF!*100"</f>
        <v>#VALUE!</v>
      </c>
      <c r="N19" s="142">
        <f>G12+G72</f>
        <v>3178648.9173230003</v>
      </c>
    </row>
    <row r="20" spans="1:15" ht="18.95" customHeight="1">
      <c r="A20" s="707" t="s">
        <v>1377</v>
      </c>
      <c r="B20" s="695">
        <v>0</v>
      </c>
      <c r="C20" s="700">
        <v>0</v>
      </c>
      <c r="D20" s="700">
        <f t="shared" si="6"/>
        <v>0</v>
      </c>
      <c r="E20" s="699">
        <f t="shared" si="5"/>
        <v>0</v>
      </c>
      <c r="F20" s="700">
        <v>0</v>
      </c>
      <c r="G20" s="700">
        <v>0</v>
      </c>
      <c r="H20" s="700">
        <v>0</v>
      </c>
      <c r="I20" s="700">
        <v>0</v>
      </c>
      <c r="J20" s="700">
        <v>0</v>
      </c>
      <c r="K20" s="700">
        <v>0</v>
      </c>
      <c r="L20" s="169"/>
      <c r="M20" s="139">
        <v>2</v>
      </c>
      <c r="N20" s="139">
        <v>2302786.502142</v>
      </c>
    </row>
    <row r="21" spans="1:15" ht="18.95" customHeight="1">
      <c r="A21" s="707" t="s">
        <v>1378</v>
      </c>
      <c r="B21" s="695">
        <v>0</v>
      </c>
      <c r="C21" s="720">
        <f>130</f>
        <v>130</v>
      </c>
      <c r="D21" s="699">
        <f>+F21+G21+H21+I21</f>
        <v>37.118738</v>
      </c>
      <c r="E21" s="699">
        <f t="shared" si="5"/>
        <v>14.543075999999999</v>
      </c>
      <c r="F21" s="699">
        <v>22.575662000000001</v>
      </c>
      <c r="G21" s="699">
        <v>14.543075999999999</v>
      </c>
      <c r="H21" s="700">
        <v>0</v>
      </c>
      <c r="I21" s="700">
        <v>0</v>
      </c>
      <c r="J21" s="699">
        <f t="shared" si="2"/>
        <v>28.552875384615383</v>
      </c>
      <c r="K21" s="699">
        <f t="shared" si="3"/>
        <v>11.186981538461538</v>
      </c>
      <c r="L21" s="169" t="e">
        <f>D21/"#REF!*100"</f>
        <v>#VALUE!</v>
      </c>
      <c r="M21" s="142">
        <f>68.136845-F21</f>
        <v>45.561182999999993</v>
      </c>
      <c r="N21" s="142">
        <f>+N15-N20</f>
        <v>0</v>
      </c>
      <c r="O21" s="142">
        <f>+D21+D30</f>
        <v>8714.5908299999992</v>
      </c>
    </row>
    <row r="22" spans="1:15" s="162" customFormat="1" ht="18.95" customHeight="1">
      <c r="A22" s="706" t="s">
        <v>1379</v>
      </c>
      <c r="B22" s="693">
        <f>SUM(B23:B30)</f>
        <v>144800</v>
      </c>
      <c r="C22" s="719">
        <f>SUM(C23:C30)</f>
        <v>145000</v>
      </c>
      <c r="D22" s="698">
        <f>+F22+G22+H22+I22</f>
        <v>139177.10179099999</v>
      </c>
      <c r="E22" s="698">
        <f>+E23+E24+E25+E26+E27+E28+E29+E30</f>
        <v>139176.82639600002</v>
      </c>
      <c r="F22" s="698">
        <f>SUM(F23:F30)</f>
        <v>0.275395</v>
      </c>
      <c r="G22" s="698">
        <f>SUM(G23:G30)</f>
        <v>138885.222687</v>
      </c>
      <c r="H22" s="698">
        <f>SUM(H23:H30)</f>
        <v>290.16870900000004</v>
      </c>
      <c r="I22" s="698">
        <f>SUM(I23:I30)</f>
        <v>1.4350000000000001</v>
      </c>
      <c r="J22" s="698">
        <f t="shared" si="2"/>
        <v>95.984208131724131</v>
      </c>
      <c r="K22" s="698">
        <f t="shared" si="3"/>
        <v>95.984018204137939</v>
      </c>
      <c r="L22" s="159" t="e">
        <f>D22/"#REF!*100"</f>
        <v>#VALUE!</v>
      </c>
      <c r="M22" s="162">
        <v>119581</v>
      </c>
      <c r="O22" s="165">
        <f>+O21-2494.236322</f>
        <v>6220.3545079999985</v>
      </c>
    </row>
    <row r="23" spans="1:15" ht="18.95" customHeight="1">
      <c r="A23" s="707" t="s">
        <v>1380</v>
      </c>
      <c r="B23" s="694">
        <v>93850</v>
      </c>
      <c r="C23" s="720">
        <v>83700</v>
      </c>
      <c r="D23" s="699">
        <f>+F23+G23+H23+I23</f>
        <v>52250.077037000003</v>
      </c>
      <c r="E23" s="699">
        <f t="shared" si="5"/>
        <v>52250.077037000003</v>
      </c>
      <c r="F23" s="700">
        <v>0</v>
      </c>
      <c r="G23" s="699">
        <v>52170.996370000001</v>
      </c>
      <c r="H23" s="699">
        <v>79.080667000000005</v>
      </c>
      <c r="I23" s="700">
        <v>0</v>
      </c>
      <c r="J23" s="699">
        <f t="shared" si="2"/>
        <v>62.425420593787337</v>
      </c>
      <c r="K23" s="699">
        <f t="shared" si="3"/>
        <v>62.425420593787337</v>
      </c>
      <c r="L23" s="169" t="e">
        <f>D23/"#REF!*100"</f>
        <v>#VALUE!</v>
      </c>
      <c r="N23" s="142">
        <f>1039936.36619-G14</f>
        <v>140080.77659199992</v>
      </c>
    </row>
    <row r="24" spans="1:15" ht="18.95" customHeight="1">
      <c r="A24" s="707" t="s">
        <v>1381</v>
      </c>
      <c r="B24" s="694">
        <v>750</v>
      </c>
      <c r="C24" s="720">
        <v>800</v>
      </c>
      <c r="D24" s="699">
        <f t="shared" si="6"/>
        <v>813.54806699999995</v>
      </c>
      <c r="E24" s="699">
        <f t="shared" si="5"/>
        <v>813.54806699999995</v>
      </c>
      <c r="F24" s="700">
        <v>0</v>
      </c>
      <c r="G24" s="699">
        <v>813.54806699999995</v>
      </c>
      <c r="H24" s="699"/>
      <c r="I24" s="700">
        <v>0</v>
      </c>
      <c r="J24" s="699">
        <f t="shared" si="2"/>
        <v>101.69350837499999</v>
      </c>
      <c r="K24" s="699">
        <f t="shared" si="3"/>
        <v>101.69350837499999</v>
      </c>
      <c r="L24" s="169" t="e">
        <f>D24/"#REF!*100"</f>
        <v>#VALUE!</v>
      </c>
      <c r="M24" s="142"/>
      <c r="N24" s="142"/>
      <c r="O24" s="142"/>
    </row>
    <row r="25" spans="1:15" ht="18.95" customHeight="1">
      <c r="A25" s="707" t="s">
        <v>1382</v>
      </c>
      <c r="B25" s="694">
        <v>45000</v>
      </c>
      <c r="C25" s="720">
        <v>55000</v>
      </c>
      <c r="D25" s="699">
        <f t="shared" si="6"/>
        <v>49388.258091999996</v>
      </c>
      <c r="E25" s="699">
        <f t="shared" si="5"/>
        <v>49388.258091999996</v>
      </c>
      <c r="F25" s="700">
        <v>0</v>
      </c>
      <c r="G25" s="699">
        <v>49190.124527</v>
      </c>
      <c r="H25" s="699">
        <v>198.133565</v>
      </c>
      <c r="I25" s="700">
        <v>0</v>
      </c>
      <c r="J25" s="699">
        <f t="shared" si="2"/>
        <v>89.796832894545446</v>
      </c>
      <c r="K25" s="699">
        <f t="shared" si="3"/>
        <v>89.796832894545446</v>
      </c>
      <c r="L25" s="169" t="e">
        <f>D25/"#REF!*100"</f>
        <v>#VALUE!</v>
      </c>
      <c r="N25" s="142">
        <f>295930.311213-G16</f>
        <v>10283.811350999982</v>
      </c>
    </row>
    <row r="26" spans="1:15" ht="18.95" customHeight="1">
      <c r="A26" s="707" t="s">
        <v>1383</v>
      </c>
      <c r="B26" s="694"/>
      <c r="C26" s="700">
        <v>0</v>
      </c>
      <c r="D26" s="699">
        <f t="shared" si="6"/>
        <v>21289.202011000001</v>
      </c>
      <c r="E26" s="699">
        <f t="shared" si="5"/>
        <v>21289.202011000001</v>
      </c>
      <c r="F26" s="700">
        <v>0</v>
      </c>
      <c r="G26" s="699">
        <v>21289.202011000001</v>
      </c>
      <c r="H26" s="700">
        <v>0</v>
      </c>
      <c r="I26" s="700">
        <v>0</v>
      </c>
      <c r="J26" s="700">
        <v>0</v>
      </c>
      <c r="K26" s="700">
        <v>0</v>
      </c>
      <c r="L26" s="169"/>
      <c r="M26" s="139" t="s">
        <v>213</v>
      </c>
      <c r="N26" s="178">
        <f>+H14+H16+H23+H25+H32+H33+H39+H41</f>
        <v>262620.00837400003</v>
      </c>
      <c r="O26" s="142"/>
    </row>
    <row r="27" spans="1:15" ht="18.95" customHeight="1">
      <c r="A27" s="707" t="s">
        <v>1384</v>
      </c>
      <c r="B27" s="694">
        <v>5200</v>
      </c>
      <c r="C27" s="720">
        <v>5200</v>
      </c>
      <c r="D27" s="699">
        <f t="shared" si="6"/>
        <v>6748.544492</v>
      </c>
      <c r="E27" s="699">
        <f t="shared" si="5"/>
        <v>6748.544492</v>
      </c>
      <c r="F27" s="700">
        <v>0</v>
      </c>
      <c r="G27" s="699">
        <v>6748.544492</v>
      </c>
      <c r="H27" s="700">
        <v>0</v>
      </c>
      <c r="I27" s="700">
        <v>0</v>
      </c>
      <c r="J27" s="699">
        <f t="shared" si="2"/>
        <v>129.77970176923077</v>
      </c>
      <c r="K27" s="699">
        <f t="shared" si="3"/>
        <v>129.77970176923077</v>
      </c>
      <c r="L27" s="169" t="e">
        <f t="shared" ref="L27:L35" si="7">D27/"#REF!*100"</f>
        <v>#VALUE!</v>
      </c>
      <c r="M27" s="139" t="s">
        <v>215</v>
      </c>
      <c r="N27" s="179">
        <f>+H12-N26</f>
        <v>332616.91588499997</v>
      </c>
      <c r="O27" s="142">
        <f>+N27+I12</f>
        <v>410079.58371299994</v>
      </c>
    </row>
    <row r="28" spans="1:15" ht="18.95" customHeight="1">
      <c r="A28" s="707" t="s">
        <v>1385</v>
      </c>
      <c r="B28" s="694"/>
      <c r="C28" s="700">
        <v>0</v>
      </c>
      <c r="D28" s="699">
        <f t="shared" si="6"/>
        <v>10</v>
      </c>
      <c r="E28" s="699">
        <f t="shared" si="5"/>
        <v>10</v>
      </c>
      <c r="F28" s="700">
        <v>0</v>
      </c>
      <c r="G28" s="699">
        <v>2</v>
      </c>
      <c r="H28" s="699">
        <v>8</v>
      </c>
      <c r="I28" s="700">
        <v>0</v>
      </c>
      <c r="J28" s="700">
        <v>0</v>
      </c>
      <c r="K28" s="700">
        <v>0</v>
      </c>
      <c r="L28" s="169" t="e">
        <f t="shared" si="7"/>
        <v>#VALUE!</v>
      </c>
      <c r="N28" s="142"/>
    </row>
    <row r="29" spans="1:15" ht="18.95" customHeight="1">
      <c r="A29" s="707" t="s">
        <v>1386</v>
      </c>
      <c r="B29" s="694"/>
      <c r="C29" s="700">
        <v>0</v>
      </c>
      <c r="D29" s="700">
        <f t="shared" si="6"/>
        <v>0</v>
      </c>
      <c r="E29" s="700">
        <f t="shared" si="5"/>
        <v>0</v>
      </c>
      <c r="F29" s="700">
        <v>0</v>
      </c>
      <c r="G29" s="700">
        <v>0</v>
      </c>
      <c r="H29" s="700">
        <v>0</v>
      </c>
      <c r="I29" s="700">
        <v>0</v>
      </c>
      <c r="J29" s="700">
        <v>0</v>
      </c>
      <c r="K29" s="700">
        <v>0</v>
      </c>
      <c r="L29" s="169" t="e">
        <f t="shared" si="7"/>
        <v>#VALUE!</v>
      </c>
      <c r="O29" s="139">
        <f>462.645198+505.414243+1416.935629+0.598433</f>
        <v>2385.5935030000001</v>
      </c>
    </row>
    <row r="30" spans="1:15" ht="18.95" customHeight="1">
      <c r="A30" s="707" t="s">
        <v>1387</v>
      </c>
      <c r="B30" s="694"/>
      <c r="C30" s="720">
        <v>300</v>
      </c>
      <c r="D30" s="699">
        <f t="shared" si="6"/>
        <v>8677.472092</v>
      </c>
      <c r="E30" s="699">
        <f t="shared" si="5"/>
        <v>8677.1966969999994</v>
      </c>
      <c r="F30" s="699">
        <v>0.275395</v>
      </c>
      <c r="G30" s="699">
        <v>8670.8072200000006</v>
      </c>
      <c r="H30" s="699">
        <v>4.9544769999999998</v>
      </c>
      <c r="I30" s="699">
        <v>1.4350000000000001</v>
      </c>
      <c r="J30" s="699">
        <f t="shared" si="2"/>
        <v>2892.4906973333332</v>
      </c>
      <c r="K30" s="699">
        <f t="shared" si="3"/>
        <v>2892.3988989999998</v>
      </c>
      <c r="L30" s="169" t="e">
        <f t="shared" si="7"/>
        <v>#VALUE!</v>
      </c>
      <c r="O30" s="139">
        <v>2409.900032</v>
      </c>
    </row>
    <row r="31" spans="1:15" s="162" customFormat="1" ht="18.95" customHeight="1">
      <c r="A31" s="706" t="s">
        <v>1388</v>
      </c>
      <c r="B31" s="693">
        <f>SUM(B32:B37)</f>
        <v>80000</v>
      </c>
      <c r="C31" s="719">
        <f>SUM(C32:C37)</f>
        <v>80000</v>
      </c>
      <c r="D31" s="698">
        <f>+F31+G31+H31+I31</f>
        <v>111325.40272900001</v>
      </c>
      <c r="E31" s="698">
        <f>+E32+E33+E34+E35+E36+E37</f>
        <v>111308.92838300001</v>
      </c>
      <c r="F31" s="698">
        <f>SUM(F32:F37)</f>
        <v>16.474346000000001</v>
      </c>
      <c r="G31" s="698">
        <f>SUM(G32:G37)</f>
        <v>111308.92838300001</v>
      </c>
      <c r="H31" s="698">
        <f>SUM(H32:H37)</f>
        <v>0</v>
      </c>
      <c r="I31" s="698">
        <f>SUM(I32:I37)</f>
        <v>0</v>
      </c>
      <c r="J31" s="698">
        <f t="shared" si="2"/>
        <v>139.15675341125001</v>
      </c>
      <c r="K31" s="698">
        <f t="shared" si="3"/>
        <v>139.13616047875001</v>
      </c>
      <c r="L31" s="180" t="e">
        <f t="shared" si="7"/>
        <v>#VALUE!</v>
      </c>
      <c r="M31" s="181" t="s">
        <v>220</v>
      </c>
      <c r="O31" s="165">
        <f>+O30-G21</f>
        <v>2395.3569560000001</v>
      </c>
    </row>
    <row r="32" spans="1:15" ht="18.95" customHeight="1">
      <c r="A32" s="707" t="s">
        <v>1389</v>
      </c>
      <c r="B32" s="694">
        <v>73950</v>
      </c>
      <c r="C32" s="720">
        <v>73950</v>
      </c>
      <c r="D32" s="699">
        <f t="shared" si="6"/>
        <v>94987.955895999999</v>
      </c>
      <c r="E32" s="699">
        <f t="shared" si="5"/>
        <v>94987.955895999999</v>
      </c>
      <c r="F32" s="700">
        <v>0</v>
      </c>
      <c r="G32" s="699">
        <v>94987.955895999999</v>
      </c>
      <c r="H32" s="700">
        <v>0</v>
      </c>
      <c r="I32" s="700">
        <v>0</v>
      </c>
      <c r="J32" s="699">
        <f t="shared" si="2"/>
        <v>128.44889235429343</v>
      </c>
      <c r="K32" s="699">
        <f t="shared" si="3"/>
        <v>128.44889235429343</v>
      </c>
      <c r="L32" s="169" t="e">
        <f t="shared" si="7"/>
        <v>#VALUE!</v>
      </c>
      <c r="O32" s="142">
        <f>+O31+H30+I30</f>
        <v>2401.7464330000003</v>
      </c>
    </row>
    <row r="33" spans="1:14" ht="18.95" customHeight="1">
      <c r="A33" s="707" t="s">
        <v>1390</v>
      </c>
      <c r="B33" s="694">
        <v>6000</v>
      </c>
      <c r="C33" s="720">
        <v>6000</v>
      </c>
      <c r="D33" s="699">
        <f t="shared" si="6"/>
        <v>16090.880827000001</v>
      </c>
      <c r="E33" s="699">
        <f t="shared" si="5"/>
        <v>16090.880827000001</v>
      </c>
      <c r="F33" s="700">
        <v>0</v>
      </c>
      <c r="G33" s="699">
        <v>16090.880827000001</v>
      </c>
      <c r="H33" s="700">
        <v>0</v>
      </c>
      <c r="I33" s="700">
        <v>0</v>
      </c>
      <c r="J33" s="699">
        <f t="shared" si="2"/>
        <v>268.1813471166667</v>
      </c>
      <c r="K33" s="699">
        <f t="shared" si="3"/>
        <v>268.1813471166667</v>
      </c>
      <c r="L33" s="182" t="e">
        <f t="shared" si="7"/>
        <v>#VALUE!</v>
      </c>
    </row>
    <row r="34" spans="1:14" ht="18.95" customHeight="1">
      <c r="A34" s="707" t="s">
        <v>1391</v>
      </c>
      <c r="B34" s="694"/>
      <c r="C34" s="700">
        <v>0</v>
      </c>
      <c r="D34" s="700">
        <f t="shared" si="6"/>
        <v>0</v>
      </c>
      <c r="E34" s="700">
        <f t="shared" si="5"/>
        <v>0</v>
      </c>
      <c r="F34" s="700">
        <v>0</v>
      </c>
      <c r="G34" s="699"/>
      <c r="H34" s="700">
        <v>0</v>
      </c>
      <c r="I34" s="700">
        <v>0</v>
      </c>
      <c r="J34" s="700">
        <v>0</v>
      </c>
      <c r="K34" s="700">
        <v>0</v>
      </c>
      <c r="L34" s="169" t="e">
        <f t="shared" si="7"/>
        <v>#VALUE!</v>
      </c>
    </row>
    <row r="35" spans="1:14" ht="18.95" customHeight="1">
      <c r="A35" s="707" t="s">
        <v>1392</v>
      </c>
      <c r="B35" s="694">
        <v>50</v>
      </c>
      <c r="C35" s="720">
        <v>50</v>
      </c>
      <c r="D35" s="699">
        <f t="shared" si="6"/>
        <v>226.33727999999999</v>
      </c>
      <c r="E35" s="699">
        <f t="shared" si="5"/>
        <v>226.33727999999999</v>
      </c>
      <c r="F35" s="700">
        <v>0</v>
      </c>
      <c r="G35" s="699">
        <v>226.33727999999999</v>
      </c>
      <c r="H35" s="700">
        <v>0</v>
      </c>
      <c r="I35" s="700">
        <v>0</v>
      </c>
      <c r="J35" s="699">
        <f t="shared" si="2"/>
        <v>452.67455999999999</v>
      </c>
      <c r="K35" s="699">
        <f t="shared" si="3"/>
        <v>452.67455999999999</v>
      </c>
      <c r="L35" s="169" t="e">
        <f t="shared" si="7"/>
        <v>#VALUE!</v>
      </c>
    </row>
    <row r="36" spans="1:14" ht="18.95" customHeight="1">
      <c r="A36" s="707" t="s">
        <v>1393</v>
      </c>
      <c r="B36" s="694">
        <v>0</v>
      </c>
      <c r="C36" s="700">
        <v>0</v>
      </c>
      <c r="D36" s="699">
        <f t="shared" si="6"/>
        <v>3.7543799999999998</v>
      </c>
      <c r="E36" s="699">
        <f t="shared" si="5"/>
        <v>3.7543799999999998</v>
      </c>
      <c r="F36" s="700">
        <v>0</v>
      </c>
      <c r="G36" s="699">
        <v>3.7543799999999998</v>
      </c>
      <c r="H36" s="700">
        <v>0</v>
      </c>
      <c r="I36" s="700">
        <v>0</v>
      </c>
      <c r="J36" s="700">
        <v>0</v>
      </c>
      <c r="K36" s="700">
        <v>0</v>
      </c>
      <c r="L36" s="169"/>
      <c r="N36" s="142"/>
    </row>
    <row r="37" spans="1:14" ht="18.95" customHeight="1">
      <c r="A37" s="707" t="s">
        <v>1394</v>
      </c>
      <c r="B37" s="694">
        <v>0</v>
      </c>
      <c r="C37" s="700">
        <v>0</v>
      </c>
      <c r="D37" s="699">
        <f t="shared" si="6"/>
        <v>16.474346000000001</v>
      </c>
      <c r="E37" s="700">
        <f t="shared" si="5"/>
        <v>0</v>
      </c>
      <c r="F37" s="699">
        <v>16.474346000000001</v>
      </c>
      <c r="G37" s="699"/>
      <c r="H37" s="700">
        <v>0</v>
      </c>
      <c r="I37" s="700">
        <v>0</v>
      </c>
      <c r="J37" s="700">
        <v>0</v>
      </c>
      <c r="K37" s="700">
        <v>0</v>
      </c>
      <c r="L37" s="169" t="e">
        <f>D37/"#REF!*100"</f>
        <v>#VALUE!</v>
      </c>
    </row>
    <row r="38" spans="1:14" s="162" customFormat="1" ht="18.95" customHeight="1">
      <c r="A38" s="706" t="s">
        <v>1395</v>
      </c>
      <c r="B38" s="693">
        <f>SUM(B39:B44)</f>
        <v>589200</v>
      </c>
      <c r="C38" s="719">
        <f>SUM(C39:C44)</f>
        <v>600000</v>
      </c>
      <c r="D38" s="698">
        <f>+F38+G38+H38+I38</f>
        <v>543050.16736399999</v>
      </c>
      <c r="E38" s="698">
        <f>+E39+E40+E41+E42+E43+E44</f>
        <v>541795.858076</v>
      </c>
      <c r="F38" s="698">
        <f>SUM(F39:F44)</f>
        <v>1254.3092879999999</v>
      </c>
      <c r="G38" s="698">
        <f>SUM(G39:G44)</f>
        <v>278066.28537100001</v>
      </c>
      <c r="H38" s="698">
        <f>SUM(H39:H44)</f>
        <v>263666.68462700001</v>
      </c>
      <c r="I38" s="698">
        <f>SUM(I39:I44)</f>
        <v>62.888078</v>
      </c>
      <c r="J38" s="698">
        <f t="shared" si="2"/>
        <v>90.508361227333339</v>
      </c>
      <c r="K38" s="698">
        <f t="shared" si="3"/>
        <v>90.299309679333334</v>
      </c>
      <c r="L38" s="159" t="e">
        <f>D38/"#REF!*100"</f>
        <v>#VALUE!</v>
      </c>
      <c r="M38" s="162">
        <v>543050.16736399999</v>
      </c>
      <c r="N38" s="162" t="s">
        <v>228</v>
      </c>
    </row>
    <row r="39" spans="1:14" ht="18.95" customHeight="1">
      <c r="A39" s="707" t="s">
        <v>1396</v>
      </c>
      <c r="B39" s="694">
        <v>468300</v>
      </c>
      <c r="C39" s="720">
        <v>476864</v>
      </c>
      <c r="D39" s="699">
        <f t="shared" si="6"/>
        <v>379860.63873600005</v>
      </c>
      <c r="E39" s="699">
        <f t="shared" si="5"/>
        <v>379860.63873600005</v>
      </c>
      <c r="F39" s="699"/>
      <c r="G39" s="699">
        <v>160384.05144000001</v>
      </c>
      <c r="H39" s="699">
        <v>219476.58729600001</v>
      </c>
      <c r="I39" s="700">
        <v>0</v>
      </c>
      <c r="J39" s="699">
        <f t="shared" si="2"/>
        <v>79.658065766340101</v>
      </c>
      <c r="K39" s="699">
        <f t="shared" si="3"/>
        <v>79.658065766340101</v>
      </c>
      <c r="L39" s="169" t="e">
        <f>D39/"#REF!*100"</f>
        <v>#VALUE!</v>
      </c>
      <c r="M39" s="142">
        <f>+D38-M38</f>
        <v>0</v>
      </c>
    </row>
    <row r="40" spans="1:14" ht="18.95" customHeight="1">
      <c r="A40" s="707" t="s">
        <v>1397</v>
      </c>
      <c r="B40" s="694">
        <v>1800</v>
      </c>
      <c r="C40" s="720">
        <v>1596</v>
      </c>
      <c r="D40" s="699">
        <f t="shared" si="6"/>
        <v>2099.2060900000001</v>
      </c>
      <c r="E40" s="699">
        <f t="shared" si="5"/>
        <v>1154.8053050000001</v>
      </c>
      <c r="F40" s="699">
        <v>944.40078500000004</v>
      </c>
      <c r="G40" s="699">
        <v>1154.8053050000001</v>
      </c>
      <c r="H40" s="699"/>
      <c r="I40" s="700">
        <v>0</v>
      </c>
      <c r="J40" s="699">
        <f t="shared" si="2"/>
        <v>131.52920363408523</v>
      </c>
      <c r="K40" s="699">
        <f t="shared" si="3"/>
        <v>72.356222117794488</v>
      </c>
      <c r="L40" s="169" t="e">
        <f>D40/"#REF!*100"</f>
        <v>#VALUE!</v>
      </c>
    </row>
    <row r="41" spans="1:14" ht="18.95" customHeight="1">
      <c r="A41" s="707" t="s">
        <v>1398</v>
      </c>
      <c r="B41" s="694">
        <v>115000</v>
      </c>
      <c r="C41" s="720">
        <v>99100</v>
      </c>
      <c r="D41" s="699">
        <f t="shared" si="6"/>
        <v>136261.107838</v>
      </c>
      <c r="E41" s="699">
        <f t="shared" si="5"/>
        <v>136261.107838</v>
      </c>
      <c r="F41" s="700">
        <v>0</v>
      </c>
      <c r="G41" s="699">
        <v>93394.900991999995</v>
      </c>
      <c r="H41" s="699">
        <v>42866.206846000001</v>
      </c>
      <c r="I41" s="700">
        <v>0</v>
      </c>
      <c r="J41" s="699">
        <f t="shared" si="2"/>
        <v>137.4985951947528</v>
      </c>
      <c r="K41" s="699">
        <f t="shared" si="3"/>
        <v>137.4985951947528</v>
      </c>
      <c r="L41" s="169" t="e">
        <f>D41/"#REF!*100"</f>
        <v>#VALUE!</v>
      </c>
    </row>
    <row r="42" spans="1:14" ht="18.95" customHeight="1">
      <c r="A42" s="707" t="s">
        <v>1399</v>
      </c>
      <c r="B42" s="694">
        <v>4100</v>
      </c>
      <c r="C42" s="720">
        <v>3710</v>
      </c>
      <c r="D42" s="699">
        <f t="shared" si="6"/>
        <v>4643.8727980000003</v>
      </c>
      <c r="E42" s="699">
        <f t="shared" si="5"/>
        <v>4643.8727980000003</v>
      </c>
      <c r="F42" s="700">
        <v>0</v>
      </c>
      <c r="G42" s="699">
        <v>4643.1821749999999</v>
      </c>
      <c r="H42" s="699">
        <v>0.6906230000000001</v>
      </c>
      <c r="I42" s="700">
        <v>0</v>
      </c>
      <c r="J42" s="699">
        <f t="shared" si="2"/>
        <v>125.17177353099731</v>
      </c>
      <c r="K42" s="699">
        <f t="shared" si="3"/>
        <v>125.17177353099731</v>
      </c>
      <c r="L42" s="169"/>
    </row>
    <row r="43" spans="1:14" ht="18.95" customHeight="1">
      <c r="A43" s="707" t="s">
        <v>1400</v>
      </c>
      <c r="B43" s="694"/>
      <c r="C43" s="700">
        <v>0</v>
      </c>
      <c r="D43" s="699">
        <f t="shared" si="6"/>
        <v>174.55699999999999</v>
      </c>
      <c r="E43" s="699">
        <f t="shared" si="5"/>
        <v>174.55699999999999</v>
      </c>
      <c r="F43" s="700">
        <v>0</v>
      </c>
      <c r="G43" s="699">
        <v>13.5</v>
      </c>
      <c r="H43" s="699">
        <v>100.52</v>
      </c>
      <c r="I43" s="699">
        <v>60.536999999999999</v>
      </c>
      <c r="J43" s="700">
        <v>0</v>
      </c>
      <c r="K43" s="700">
        <v>0</v>
      </c>
      <c r="L43" s="169" t="e">
        <f>D43/"#REF!*100"</f>
        <v>#VALUE!</v>
      </c>
    </row>
    <row r="44" spans="1:14" ht="18.95" customHeight="1">
      <c r="A44" s="707" t="s">
        <v>1401</v>
      </c>
      <c r="B44" s="694"/>
      <c r="C44" s="720">
        <v>18730</v>
      </c>
      <c r="D44" s="699">
        <f t="shared" si="6"/>
        <v>20010.784901999999</v>
      </c>
      <c r="E44" s="699">
        <f t="shared" si="5"/>
        <v>19700.876399000001</v>
      </c>
      <c r="F44" s="699">
        <v>309.908503</v>
      </c>
      <c r="G44" s="699">
        <v>18475.845459</v>
      </c>
      <c r="H44" s="699">
        <f>1222.451984+0.227878</f>
        <v>1222.679862</v>
      </c>
      <c r="I44" s="699">
        <v>2.3510779999999998</v>
      </c>
      <c r="J44" s="699">
        <f t="shared" si="2"/>
        <v>106.83814683395623</v>
      </c>
      <c r="K44" s="699">
        <f t="shared" si="3"/>
        <v>105.18353656700481</v>
      </c>
      <c r="L44" s="169" t="e">
        <f>D44/"#REF!*100"</f>
        <v>#VALUE!</v>
      </c>
    </row>
    <row r="45" spans="1:14" s="162" customFormat="1" ht="18.95" customHeight="1">
      <c r="A45" s="706" t="s">
        <v>1402</v>
      </c>
      <c r="B45" s="693">
        <v>150000</v>
      </c>
      <c r="C45" s="719">
        <v>150000</v>
      </c>
      <c r="D45" s="698">
        <f t="shared" si="6"/>
        <v>152533.77566499999</v>
      </c>
      <c r="E45" s="699">
        <f t="shared" si="5"/>
        <v>152533.77566499999</v>
      </c>
      <c r="F45" s="700">
        <v>0</v>
      </c>
      <c r="G45" s="698"/>
      <c r="H45" s="698">
        <v>135711.965367</v>
      </c>
      <c r="I45" s="698">
        <v>16821.810298</v>
      </c>
      <c r="J45" s="698">
        <f t="shared" si="2"/>
        <v>101.68918377666667</v>
      </c>
      <c r="K45" s="698">
        <f t="shared" si="3"/>
        <v>101.68918377666667</v>
      </c>
      <c r="L45" s="159"/>
      <c r="N45" s="165"/>
    </row>
    <row r="46" spans="1:14" s="162" customFormat="1" ht="18.95" customHeight="1">
      <c r="A46" s="706" t="s">
        <v>1403</v>
      </c>
      <c r="B46" s="693">
        <v>7000</v>
      </c>
      <c r="C46" s="719">
        <v>7000</v>
      </c>
      <c r="D46" s="698">
        <f>+F46+G46+H46+I46</f>
        <v>10220.554547</v>
      </c>
      <c r="E46" s="699">
        <f t="shared" si="5"/>
        <v>10220.554547</v>
      </c>
      <c r="F46" s="700">
        <v>0</v>
      </c>
      <c r="G46" s="698">
        <v>532.47088099999996</v>
      </c>
      <c r="H46" s="698">
        <v>4628.7350260000003</v>
      </c>
      <c r="I46" s="698">
        <v>5059.3486400000002</v>
      </c>
      <c r="J46" s="698">
        <f t="shared" si="2"/>
        <v>146.0079221</v>
      </c>
      <c r="K46" s="698">
        <f t="shared" si="3"/>
        <v>146.0079221</v>
      </c>
      <c r="L46" s="159" t="e">
        <f>D46/"#REF!*100"</f>
        <v>#VALUE!</v>
      </c>
      <c r="M46" s="181">
        <v>10220.554547</v>
      </c>
      <c r="N46" s="165">
        <f>+M46-D46</f>
        <v>0</v>
      </c>
    </row>
    <row r="47" spans="1:14" s="162" customFormat="1" ht="18.95" customHeight="1">
      <c r="A47" s="706" t="s">
        <v>1404</v>
      </c>
      <c r="B47" s="693">
        <v>3000</v>
      </c>
      <c r="C47" s="719">
        <v>3000</v>
      </c>
      <c r="D47" s="698">
        <f t="shared" si="6"/>
        <v>3878.4313689999999</v>
      </c>
      <c r="E47" s="699">
        <f t="shared" si="5"/>
        <v>3878.4313689999999</v>
      </c>
      <c r="F47" s="700">
        <v>0</v>
      </c>
      <c r="G47" s="698">
        <v>12.63</v>
      </c>
      <c r="H47" s="698">
        <v>107.95024100000001</v>
      </c>
      <c r="I47" s="698">
        <v>3757.8511279999998</v>
      </c>
      <c r="J47" s="698">
        <f t="shared" si="2"/>
        <v>129.28104563333335</v>
      </c>
      <c r="K47" s="698">
        <f t="shared" si="3"/>
        <v>129.28104563333335</v>
      </c>
      <c r="L47" s="159"/>
      <c r="M47" s="181"/>
    </row>
    <row r="48" spans="1:14" s="162" customFormat="1" ht="18.95" customHeight="1">
      <c r="A48" s="706" t="s">
        <v>1405</v>
      </c>
      <c r="B48" s="693">
        <v>300000</v>
      </c>
      <c r="C48" s="719">
        <v>286000</v>
      </c>
      <c r="D48" s="698">
        <f>+F48+G48+H48+I48</f>
        <v>265230.208545</v>
      </c>
      <c r="E48" s="699">
        <f t="shared" si="5"/>
        <v>265230.208545</v>
      </c>
      <c r="F48" s="700">
        <v>0</v>
      </c>
      <c r="G48" s="698">
        <v>265230.208545</v>
      </c>
      <c r="H48" s="698"/>
      <c r="I48" s="698"/>
      <c r="J48" s="698">
        <f t="shared" si="2"/>
        <v>92.737835155594411</v>
      </c>
      <c r="K48" s="698">
        <f t="shared" si="3"/>
        <v>92.737835155594411</v>
      </c>
      <c r="L48" s="159" t="e">
        <f>D48/"#REF!*100"</f>
        <v>#VALUE!</v>
      </c>
    </row>
    <row r="49" spans="1:13" s="162" customFormat="1" ht="18.95" customHeight="1">
      <c r="A49" s="706" t="s">
        <v>1406</v>
      </c>
      <c r="B49" s="693">
        <v>270000</v>
      </c>
      <c r="C49" s="719">
        <v>270000</v>
      </c>
      <c r="D49" s="698">
        <f t="shared" si="6"/>
        <v>325932.60084700002</v>
      </c>
      <c r="E49" s="699">
        <f t="shared" si="5"/>
        <v>121246.93233900001</v>
      </c>
      <c r="F49" s="698">
        <v>204685.668508</v>
      </c>
      <c r="G49" s="698">
        <v>121246.93233900001</v>
      </c>
      <c r="H49" s="698"/>
      <c r="I49" s="698"/>
      <c r="J49" s="698">
        <f t="shared" si="2"/>
        <v>120.71577809148148</v>
      </c>
      <c r="K49" s="698">
        <f t="shared" si="3"/>
        <v>44.906271236666669</v>
      </c>
      <c r="L49" s="159"/>
    </row>
    <row r="50" spans="1:13" s="162" customFormat="1" ht="18.95" customHeight="1">
      <c r="A50" s="706" t="s">
        <v>1407</v>
      </c>
      <c r="B50" s="693">
        <f>+B51+B52</f>
        <v>72000</v>
      </c>
      <c r="C50" s="719">
        <v>70000</v>
      </c>
      <c r="D50" s="698">
        <f>+F50+G50+H50+I50</f>
        <v>83061.398038000014</v>
      </c>
      <c r="E50" s="698">
        <f>+E51+E52</f>
        <v>62838.054205</v>
      </c>
      <c r="F50" s="698">
        <f>+F51+F52</f>
        <v>20223.343832999999</v>
      </c>
      <c r="G50" s="698">
        <f>+G51+G52</f>
        <v>25847.564117999998</v>
      </c>
      <c r="H50" s="698">
        <f>+H51+H52</f>
        <v>12678.216612</v>
      </c>
      <c r="I50" s="698">
        <f>+I51+I52</f>
        <v>24312.273475000002</v>
      </c>
      <c r="J50" s="698">
        <f t="shared" si="2"/>
        <v>118.65914005428573</v>
      </c>
      <c r="K50" s="698">
        <f t="shared" si="3"/>
        <v>89.768648864285723</v>
      </c>
      <c r="L50" s="159" t="e">
        <f>D50/"#REF!*100"</f>
        <v>#VALUE!</v>
      </c>
      <c r="M50" s="165">
        <f>+D50-50130</f>
        <v>32931.398038000014</v>
      </c>
    </row>
    <row r="51" spans="1:13" ht="18.95" customHeight="1">
      <c r="A51" s="707" t="s">
        <v>1408</v>
      </c>
      <c r="B51" s="694">
        <v>16000</v>
      </c>
      <c r="C51" s="699" t="s">
        <v>158</v>
      </c>
      <c r="D51" s="699">
        <f>+F51+G51+H51+I51</f>
        <v>20427.843832999999</v>
      </c>
      <c r="E51" s="699">
        <f t="shared" si="5"/>
        <v>204.5</v>
      </c>
      <c r="F51" s="699">
        <v>20223.343832999999</v>
      </c>
      <c r="G51" s="699">
        <v>204.5</v>
      </c>
      <c r="H51" s="699"/>
      <c r="I51" s="699"/>
      <c r="J51" s="700">
        <v>0</v>
      </c>
      <c r="K51" s="700">
        <v>0</v>
      </c>
      <c r="L51" s="169" t="e">
        <f>D51/"#REF!*100"</f>
        <v>#VALUE!</v>
      </c>
    </row>
    <row r="52" spans="1:13" ht="18.95" customHeight="1">
      <c r="A52" s="707" t="s">
        <v>1409</v>
      </c>
      <c r="B52" s="694">
        <v>56000</v>
      </c>
      <c r="C52" s="699" t="s">
        <v>158</v>
      </c>
      <c r="D52" s="699">
        <f t="shared" si="6"/>
        <v>62633.554205</v>
      </c>
      <c r="E52" s="699">
        <f t="shared" si="5"/>
        <v>62633.554205</v>
      </c>
      <c r="F52" s="699"/>
      <c r="G52" s="699">
        <v>25643.064117999998</v>
      </c>
      <c r="H52" s="699">
        <v>12678.216612</v>
      </c>
      <c r="I52" s="699">
        <f>9324.33+14987.943475</f>
        <v>24312.273475000002</v>
      </c>
      <c r="J52" s="700">
        <v>0</v>
      </c>
      <c r="K52" s="700">
        <v>0</v>
      </c>
      <c r="L52" s="169" t="e">
        <f>D52/"#REF!*100"</f>
        <v>#VALUE!</v>
      </c>
      <c r="M52" s="142"/>
    </row>
    <row r="53" spans="1:13" s="162" customFormat="1" ht="18.95" customHeight="1">
      <c r="A53" s="706" t="s">
        <v>1410</v>
      </c>
      <c r="B53" s="693">
        <v>100000</v>
      </c>
      <c r="C53" s="719">
        <v>100000</v>
      </c>
      <c r="D53" s="698">
        <f t="shared" si="6"/>
        <v>338795.11958199996</v>
      </c>
      <c r="E53" s="699">
        <f t="shared" si="5"/>
        <v>338795.11958199996</v>
      </c>
      <c r="F53" s="698"/>
      <c r="G53" s="698">
        <v>186766.20176</v>
      </c>
      <c r="H53" s="698">
        <v>152028.91782199999</v>
      </c>
      <c r="I53" s="698"/>
      <c r="J53" s="698">
        <f t="shared" si="2"/>
        <v>338.79511958199993</v>
      </c>
      <c r="K53" s="698">
        <f t="shared" si="3"/>
        <v>338.79511958199993</v>
      </c>
      <c r="L53" s="159"/>
      <c r="M53" s="165"/>
    </row>
    <row r="54" spans="1:13" s="162" customFormat="1" ht="18.95" customHeight="1">
      <c r="A54" s="706" t="s">
        <v>1411</v>
      </c>
      <c r="B54" s="693">
        <v>100000</v>
      </c>
      <c r="C54" s="719">
        <v>100000</v>
      </c>
      <c r="D54" s="698">
        <f t="shared" si="6"/>
        <v>21941.696694000002</v>
      </c>
      <c r="E54" s="699">
        <f t="shared" si="5"/>
        <v>21941.696694000002</v>
      </c>
      <c r="F54" s="698"/>
      <c r="G54" s="698">
        <v>18429.237935000001</v>
      </c>
      <c r="H54" s="698">
        <v>3512.4587590000001</v>
      </c>
      <c r="I54" s="698"/>
      <c r="J54" s="698">
        <f t="shared" si="2"/>
        <v>21.941696694000001</v>
      </c>
      <c r="K54" s="698">
        <f t="shared" si="3"/>
        <v>21.941696694000001</v>
      </c>
      <c r="L54" s="159"/>
      <c r="M54" s="165"/>
    </row>
    <row r="55" spans="1:13" s="162" customFormat="1" ht="18.95" customHeight="1">
      <c r="A55" s="706" t="s">
        <v>1412</v>
      </c>
      <c r="B55" s="693"/>
      <c r="C55" s="698" t="s">
        <v>158</v>
      </c>
      <c r="D55" s="698">
        <f t="shared" si="6"/>
        <v>5144.2406899999996</v>
      </c>
      <c r="E55" s="699">
        <f t="shared" si="5"/>
        <v>5122.68869</v>
      </c>
      <c r="F55" s="698">
        <v>21.552</v>
      </c>
      <c r="G55" s="698">
        <v>5122.68869</v>
      </c>
      <c r="H55" s="698"/>
      <c r="I55" s="698"/>
      <c r="J55" s="700">
        <v>0</v>
      </c>
      <c r="K55" s="700">
        <v>0</v>
      </c>
      <c r="L55" s="159"/>
      <c r="M55" s="165"/>
    </row>
    <row r="56" spans="1:13" s="162" customFormat="1" ht="18.95" customHeight="1">
      <c r="A56" s="706" t="s">
        <v>1413</v>
      </c>
      <c r="B56" s="693">
        <v>131100</v>
      </c>
      <c r="C56" s="719">
        <f>135000-C59</f>
        <v>115000</v>
      </c>
      <c r="D56" s="698">
        <f t="shared" si="6"/>
        <v>158292.421978</v>
      </c>
      <c r="E56" s="699">
        <f t="shared" si="5"/>
        <v>80798.855054</v>
      </c>
      <c r="F56" s="698">
        <v>77493.566923999999</v>
      </c>
      <c r="G56" s="698">
        <f>82417.902615-24230.874657</f>
        <v>58187.027957999999</v>
      </c>
      <c r="H56" s="698">
        <f>22611.563368+0.263728</f>
        <v>22611.827096000001</v>
      </c>
      <c r="I56" s="698"/>
      <c r="J56" s="698">
        <f t="shared" si="2"/>
        <v>137.64558432869563</v>
      </c>
      <c r="K56" s="698">
        <f t="shared" si="3"/>
        <v>70.259873959999993</v>
      </c>
      <c r="L56" s="159"/>
      <c r="M56" s="165">
        <v>24230.874657</v>
      </c>
    </row>
    <row r="57" spans="1:13" s="162" customFormat="1" ht="18.95" customHeight="1">
      <c r="A57" s="706" t="s">
        <v>1414</v>
      </c>
      <c r="B57" s="693">
        <v>23000</v>
      </c>
      <c r="C57" s="700">
        <v>0</v>
      </c>
      <c r="D57" s="698">
        <f t="shared" si="6"/>
        <v>1357.83834</v>
      </c>
      <c r="E57" s="699">
        <f t="shared" si="5"/>
        <v>1357.83834</v>
      </c>
      <c r="F57" s="698"/>
      <c r="G57" s="698"/>
      <c r="H57" s="698"/>
      <c r="I57" s="698">
        <v>1357.83834</v>
      </c>
      <c r="J57" s="700">
        <v>0</v>
      </c>
      <c r="K57" s="700">
        <v>0</v>
      </c>
      <c r="L57" s="159"/>
      <c r="M57" s="165"/>
    </row>
    <row r="58" spans="1:13" s="162" customFormat="1" ht="18.95" customHeight="1">
      <c r="A58" s="706" t="s">
        <v>1415</v>
      </c>
      <c r="B58" s="693">
        <v>717000</v>
      </c>
      <c r="C58" s="719">
        <v>717000</v>
      </c>
      <c r="D58" s="698">
        <f>+F58+G58+H58+I58</f>
        <v>780591.41520499997</v>
      </c>
      <c r="E58" s="699">
        <f t="shared" si="5"/>
        <v>780591.41520499997</v>
      </c>
      <c r="F58" s="698"/>
      <c r="G58" s="698">
        <v>780591.41520499997</v>
      </c>
      <c r="H58" s="698"/>
      <c r="I58" s="698"/>
      <c r="J58" s="698">
        <f t="shared" si="2"/>
        <v>108.86909556555091</v>
      </c>
      <c r="K58" s="698">
        <f t="shared" si="3"/>
        <v>108.86909556555091</v>
      </c>
      <c r="L58" s="159"/>
      <c r="M58" s="165" t="s">
        <v>658</v>
      </c>
    </row>
    <row r="59" spans="1:13" s="162" customFormat="1" ht="18.95" customHeight="1">
      <c r="A59" s="706" t="s">
        <v>1416</v>
      </c>
      <c r="B59" s="693">
        <f>B60+B61+B62+B64</f>
        <v>0</v>
      </c>
      <c r="C59" s="719">
        <v>20000</v>
      </c>
      <c r="D59" s="698">
        <f>+F59+G59+H59+I59</f>
        <v>26089.222869000001</v>
      </c>
      <c r="E59" s="698">
        <f>+SUM(E60:E62)+E64</f>
        <v>26089.222869000001</v>
      </c>
      <c r="F59" s="698">
        <f>SUM(F60:F64)-F63</f>
        <v>0</v>
      </c>
      <c r="G59" s="698">
        <f>SUM(G60:G64)-G63</f>
        <v>0</v>
      </c>
      <c r="H59" s="698">
        <f>SUM(H60:H64)-H63</f>
        <v>0</v>
      </c>
      <c r="I59" s="698">
        <f>I60+I61+I62+I64</f>
        <v>26089.222869000001</v>
      </c>
      <c r="J59" s="698">
        <f t="shared" si="2"/>
        <v>130.44611434499998</v>
      </c>
      <c r="K59" s="698">
        <f t="shared" si="3"/>
        <v>130.44611434499998</v>
      </c>
      <c r="L59" s="159" t="e">
        <f>D59/"#REF!*100"</f>
        <v>#VALUE!</v>
      </c>
    </row>
    <row r="60" spans="1:13" ht="18.95" customHeight="1">
      <c r="A60" s="707" t="s">
        <v>1417</v>
      </c>
      <c r="B60" s="695">
        <v>0</v>
      </c>
      <c r="C60" s="700">
        <v>0</v>
      </c>
      <c r="D60" s="699">
        <f t="shared" si="6"/>
        <v>18</v>
      </c>
      <c r="E60" s="699">
        <f t="shared" si="5"/>
        <v>18</v>
      </c>
      <c r="F60" s="700">
        <v>0</v>
      </c>
      <c r="G60" s="700">
        <v>0</v>
      </c>
      <c r="H60" s="700">
        <v>0</v>
      </c>
      <c r="I60" s="699">
        <v>18</v>
      </c>
      <c r="J60" s="700">
        <v>0</v>
      </c>
      <c r="K60" s="700">
        <v>0</v>
      </c>
      <c r="L60" s="169" t="e">
        <f>D60/"#REF!*100"</f>
        <v>#VALUE!</v>
      </c>
    </row>
    <row r="61" spans="1:13" ht="18.95" customHeight="1">
      <c r="A61" s="707" t="s">
        <v>1418</v>
      </c>
      <c r="B61" s="695">
        <v>0</v>
      </c>
      <c r="C61" s="700">
        <v>0</v>
      </c>
      <c r="D61" s="699">
        <f t="shared" si="6"/>
        <v>416.84694500000001</v>
      </c>
      <c r="E61" s="699">
        <f t="shared" si="5"/>
        <v>416.84694500000001</v>
      </c>
      <c r="F61" s="700">
        <v>0</v>
      </c>
      <c r="G61" s="700">
        <v>0</v>
      </c>
      <c r="H61" s="700">
        <v>0</v>
      </c>
      <c r="I61" s="699">
        <v>416.84694500000001</v>
      </c>
      <c r="J61" s="700">
        <v>0</v>
      </c>
      <c r="K61" s="700">
        <v>0</v>
      </c>
      <c r="L61" s="169" t="e">
        <f>D61/"#REF!*100"</f>
        <v>#VALUE!</v>
      </c>
    </row>
    <row r="62" spans="1:13" ht="18.95" customHeight="1">
      <c r="A62" s="707" t="s">
        <v>1419</v>
      </c>
      <c r="B62" s="695">
        <v>0</v>
      </c>
      <c r="C62" s="700">
        <v>0</v>
      </c>
      <c r="D62" s="699">
        <f t="shared" si="6"/>
        <v>17980.343000000001</v>
      </c>
      <c r="E62" s="699">
        <f t="shared" si="5"/>
        <v>17980.343000000001</v>
      </c>
      <c r="F62" s="700">
        <v>0</v>
      </c>
      <c r="G62" s="700">
        <v>0</v>
      </c>
      <c r="H62" s="700">
        <v>0</v>
      </c>
      <c r="I62" s="699">
        <v>17980.343000000001</v>
      </c>
      <c r="J62" s="700">
        <v>0</v>
      </c>
      <c r="K62" s="700">
        <v>0</v>
      </c>
      <c r="L62" s="169" t="e">
        <f>D62/"#REF!*100"</f>
        <v>#VALUE!</v>
      </c>
    </row>
    <row r="63" spans="1:13" ht="18.95" customHeight="1">
      <c r="A63" s="708" t="s">
        <v>1420</v>
      </c>
      <c r="B63" s="695">
        <v>0</v>
      </c>
      <c r="C63" s="700">
        <v>0</v>
      </c>
      <c r="D63" s="701">
        <f t="shared" si="6"/>
        <v>3750.134</v>
      </c>
      <c r="E63" s="699">
        <f t="shared" si="5"/>
        <v>3750.134</v>
      </c>
      <c r="F63" s="700">
        <v>0</v>
      </c>
      <c r="G63" s="700">
        <v>0</v>
      </c>
      <c r="H63" s="700">
        <v>0</v>
      </c>
      <c r="I63" s="701">
        <v>3750.134</v>
      </c>
      <c r="J63" s="700">
        <v>0</v>
      </c>
      <c r="K63" s="700">
        <v>0</v>
      </c>
      <c r="L63" s="169"/>
    </row>
    <row r="64" spans="1:13" ht="18.95" customHeight="1">
      <c r="A64" s="707" t="s">
        <v>1421</v>
      </c>
      <c r="B64" s="695">
        <v>0</v>
      </c>
      <c r="C64" s="700">
        <v>0</v>
      </c>
      <c r="D64" s="699">
        <f t="shared" si="6"/>
        <v>7674.0329240000001</v>
      </c>
      <c r="E64" s="699">
        <f t="shared" si="5"/>
        <v>7674.0329240000001</v>
      </c>
      <c r="F64" s="700">
        <v>0</v>
      </c>
      <c r="G64" s="700">
        <v>0</v>
      </c>
      <c r="H64" s="700">
        <v>0</v>
      </c>
      <c r="I64" s="699">
        <v>7674.0329240000001</v>
      </c>
      <c r="J64" s="700">
        <v>0</v>
      </c>
      <c r="K64" s="700">
        <v>0</v>
      </c>
      <c r="L64" s="169" t="e">
        <f>D64/"#REF!*100"</f>
        <v>#VALUE!</v>
      </c>
    </row>
    <row r="65" spans="1:13" s="162" customFormat="1" ht="18.95" customHeight="1">
      <c r="A65" s="706" t="s">
        <v>1422</v>
      </c>
      <c r="B65" s="695">
        <v>0</v>
      </c>
      <c r="C65" s="700">
        <v>0</v>
      </c>
      <c r="D65" s="698">
        <f>D66+D67+D69+D70+D71</f>
        <v>1512.7189450000001</v>
      </c>
      <c r="E65" s="699">
        <f t="shared" si="5"/>
        <v>1512.7189450000001</v>
      </c>
      <c r="F65" s="698">
        <f>F66+F67+F69+F70+F71</f>
        <v>0</v>
      </c>
      <c r="G65" s="698">
        <f>+G66+G67+G69+G70+G71</f>
        <v>1512.7189450000001</v>
      </c>
      <c r="H65" s="698">
        <f>+H66+H67+H69+H70+H71</f>
        <v>0</v>
      </c>
      <c r="I65" s="698">
        <f>I66+I67+I69+I70+I71</f>
        <v>0</v>
      </c>
      <c r="J65" s="700">
        <v>0</v>
      </c>
      <c r="K65" s="700">
        <v>0</v>
      </c>
      <c r="L65" s="159" t="e">
        <f>D65/"#REF!*100"</f>
        <v>#VALUE!</v>
      </c>
    </row>
    <row r="66" spans="1:13" ht="18.95" customHeight="1">
      <c r="A66" s="707" t="s">
        <v>1423</v>
      </c>
      <c r="B66" s="695">
        <v>0</v>
      </c>
      <c r="C66" s="700">
        <v>0</v>
      </c>
      <c r="D66" s="699">
        <f t="shared" ref="D66:D71" si="8">+F66+G66+H66+I66</f>
        <v>1422.692272</v>
      </c>
      <c r="E66" s="699">
        <f t="shared" si="5"/>
        <v>1422.692272</v>
      </c>
      <c r="F66" s="699"/>
      <c r="G66" s="699">
        <v>1422.692272</v>
      </c>
      <c r="H66" s="699"/>
      <c r="I66" s="699"/>
      <c r="J66" s="700">
        <v>0</v>
      </c>
      <c r="K66" s="700">
        <v>0</v>
      </c>
      <c r="L66" s="169" t="e">
        <f>D66/"#REF!*100"</f>
        <v>#VALUE!</v>
      </c>
    </row>
    <row r="67" spans="1:13" ht="18.95" customHeight="1">
      <c r="A67" s="707" t="s">
        <v>1424</v>
      </c>
      <c r="B67" s="695">
        <v>0</v>
      </c>
      <c r="C67" s="700">
        <v>0</v>
      </c>
      <c r="D67" s="699">
        <f t="shared" si="8"/>
        <v>90.026673000000002</v>
      </c>
      <c r="E67" s="699">
        <f t="shared" si="5"/>
        <v>90.026673000000002</v>
      </c>
      <c r="F67" s="699"/>
      <c r="G67" s="699">
        <v>90.026673000000002</v>
      </c>
      <c r="H67" s="699"/>
      <c r="I67" s="699"/>
      <c r="J67" s="700">
        <v>0</v>
      </c>
      <c r="K67" s="700">
        <v>0</v>
      </c>
      <c r="L67" s="169" t="e">
        <f>D67/"#REF!*100"</f>
        <v>#VALUE!</v>
      </c>
    </row>
    <row r="68" spans="1:13" s="4" customFormat="1" ht="18" hidden="1" customHeight="1">
      <c r="A68" s="709" t="s">
        <v>258</v>
      </c>
      <c r="B68" s="696"/>
      <c r="C68" s="702"/>
      <c r="D68" s="702">
        <f t="shared" si="8"/>
        <v>0</v>
      </c>
      <c r="E68" s="702"/>
      <c r="F68" s="702"/>
      <c r="G68" s="702"/>
      <c r="H68" s="702"/>
      <c r="I68" s="702"/>
      <c r="J68" s="698" t="e">
        <f t="shared" si="2"/>
        <v>#DIV/0!</v>
      </c>
      <c r="K68" s="700" t="e">
        <f t="shared" si="3"/>
        <v>#DIV/0!</v>
      </c>
      <c r="L68" s="190"/>
    </row>
    <row r="69" spans="1:13" s="4" customFormat="1" ht="18" hidden="1" customHeight="1">
      <c r="A69" s="710" t="s">
        <v>259</v>
      </c>
      <c r="B69" s="697"/>
      <c r="C69" s="703"/>
      <c r="D69" s="703">
        <f t="shared" si="8"/>
        <v>0</v>
      </c>
      <c r="E69" s="703"/>
      <c r="F69" s="703"/>
      <c r="G69" s="703"/>
      <c r="H69" s="703"/>
      <c r="I69" s="703"/>
      <c r="J69" s="698" t="e">
        <f t="shared" si="2"/>
        <v>#DIV/0!</v>
      </c>
      <c r="K69" s="700" t="e">
        <f t="shared" si="3"/>
        <v>#DIV/0!</v>
      </c>
      <c r="L69" s="190" t="e">
        <f t="shared" ref="L69:L76" si="9">D69/"#REF!*100"</f>
        <v>#VALUE!</v>
      </c>
    </row>
    <row r="70" spans="1:13" s="4" customFormat="1" ht="18" hidden="1" customHeight="1">
      <c r="A70" s="710" t="s">
        <v>260</v>
      </c>
      <c r="B70" s="697"/>
      <c r="C70" s="703"/>
      <c r="D70" s="703">
        <f t="shared" si="8"/>
        <v>0</v>
      </c>
      <c r="E70" s="703"/>
      <c r="F70" s="703"/>
      <c r="G70" s="703"/>
      <c r="H70" s="703"/>
      <c r="I70" s="703"/>
      <c r="J70" s="698" t="e">
        <f t="shared" si="2"/>
        <v>#DIV/0!</v>
      </c>
      <c r="K70" s="700" t="e">
        <f t="shared" si="3"/>
        <v>#DIV/0!</v>
      </c>
      <c r="L70" s="190" t="e">
        <f t="shared" si="9"/>
        <v>#VALUE!</v>
      </c>
    </row>
    <row r="71" spans="1:13" s="4" customFormat="1" ht="18" hidden="1" customHeight="1">
      <c r="A71" s="710" t="s">
        <v>261</v>
      </c>
      <c r="B71" s="697"/>
      <c r="C71" s="703"/>
      <c r="D71" s="703">
        <f t="shared" si="8"/>
        <v>0</v>
      </c>
      <c r="E71" s="703"/>
      <c r="F71" s="703"/>
      <c r="G71" s="703"/>
      <c r="H71" s="703"/>
      <c r="I71" s="703"/>
      <c r="J71" s="698" t="e">
        <f t="shared" si="2"/>
        <v>#DIV/0!</v>
      </c>
      <c r="K71" s="700" t="e">
        <f t="shared" si="3"/>
        <v>#DIV/0!</v>
      </c>
      <c r="L71" s="190" t="e">
        <f t="shared" si="9"/>
        <v>#VALUE!</v>
      </c>
    </row>
    <row r="72" spans="1:13" s="162" customFormat="1" ht="18.95" customHeight="1">
      <c r="A72" s="706" t="s">
        <v>1425</v>
      </c>
      <c r="B72" s="693">
        <f>+B73+B74+B75+B76+B77</f>
        <v>120000</v>
      </c>
      <c r="C72" s="719">
        <v>120000</v>
      </c>
      <c r="D72" s="698">
        <f>D73+D74+D75+D76+D77</f>
        <v>16903.514629000001</v>
      </c>
      <c r="E72" s="699">
        <f t="shared" ref="E72:E76" si="10">+G72+H72+I72</f>
        <v>0</v>
      </c>
      <c r="F72" s="698">
        <f>F73+F74+F75+F76+F77</f>
        <v>16903.514629000001</v>
      </c>
      <c r="G72" s="698">
        <f>G73+G74+G75+G76+G77</f>
        <v>0</v>
      </c>
      <c r="H72" s="698">
        <f>H73+H74+H75+H76+H77</f>
        <v>0</v>
      </c>
      <c r="I72" s="698">
        <f>I73+I74+I75+I76+I77</f>
        <v>0</v>
      </c>
      <c r="J72" s="698">
        <f t="shared" si="2"/>
        <v>14.086262190833335</v>
      </c>
      <c r="K72" s="700">
        <f>E72/C72*100</f>
        <v>0</v>
      </c>
      <c r="L72" s="159" t="e">
        <f t="shared" si="9"/>
        <v>#VALUE!</v>
      </c>
      <c r="M72" s="162">
        <v>16903.514629000001</v>
      </c>
    </row>
    <row r="73" spans="1:13" ht="18.95" customHeight="1">
      <c r="A73" s="707" t="s">
        <v>1426</v>
      </c>
      <c r="B73" s="694"/>
      <c r="C73" s="700">
        <v>0</v>
      </c>
      <c r="D73" s="699">
        <f t="shared" ref="D73:D78" si="11">+F73+G73+H73+I73</f>
        <v>0</v>
      </c>
      <c r="E73" s="700">
        <f t="shared" si="10"/>
        <v>0</v>
      </c>
      <c r="F73" s="699"/>
      <c r="G73" s="700">
        <v>0</v>
      </c>
      <c r="H73" s="700">
        <v>0</v>
      </c>
      <c r="I73" s="700">
        <v>0</v>
      </c>
      <c r="J73" s="700">
        <v>0</v>
      </c>
      <c r="K73" s="700">
        <v>0</v>
      </c>
      <c r="L73" s="169" t="e">
        <f t="shared" si="9"/>
        <v>#VALUE!</v>
      </c>
      <c r="M73" s="142">
        <f>+M72-D72</f>
        <v>0</v>
      </c>
    </row>
    <row r="74" spans="1:13" ht="18.95" customHeight="1">
      <c r="A74" s="707" t="s">
        <v>1427</v>
      </c>
      <c r="B74" s="694">
        <v>40000</v>
      </c>
      <c r="C74" s="700">
        <v>0</v>
      </c>
      <c r="D74" s="699">
        <f t="shared" si="11"/>
        <v>1997.8223410000001</v>
      </c>
      <c r="E74" s="700">
        <f t="shared" si="10"/>
        <v>0</v>
      </c>
      <c r="F74" s="699">
        <v>1997.8223410000001</v>
      </c>
      <c r="G74" s="700">
        <v>0</v>
      </c>
      <c r="H74" s="700">
        <v>0</v>
      </c>
      <c r="I74" s="700">
        <v>0</v>
      </c>
      <c r="J74" s="700">
        <v>0</v>
      </c>
      <c r="K74" s="700">
        <v>0</v>
      </c>
      <c r="L74" s="169" t="e">
        <f t="shared" si="9"/>
        <v>#VALUE!</v>
      </c>
    </row>
    <row r="75" spans="1:13" ht="18.95" customHeight="1">
      <c r="A75" s="707" t="s">
        <v>1428</v>
      </c>
      <c r="B75" s="694"/>
      <c r="C75" s="700">
        <v>0</v>
      </c>
      <c r="D75" s="699">
        <f t="shared" si="11"/>
        <v>47.881602000000001</v>
      </c>
      <c r="E75" s="700">
        <f t="shared" si="10"/>
        <v>0</v>
      </c>
      <c r="F75" s="699">
        <v>47.881602000000001</v>
      </c>
      <c r="G75" s="700">
        <v>0</v>
      </c>
      <c r="H75" s="700">
        <v>0</v>
      </c>
      <c r="I75" s="700">
        <v>0</v>
      </c>
      <c r="J75" s="700">
        <v>0</v>
      </c>
      <c r="K75" s="700">
        <v>0</v>
      </c>
      <c r="L75" s="169" t="e">
        <f t="shared" si="9"/>
        <v>#VALUE!</v>
      </c>
    </row>
    <row r="76" spans="1:13" ht="18.95" customHeight="1">
      <c r="A76" s="707" t="s">
        <v>1429</v>
      </c>
      <c r="B76" s="694">
        <v>80000</v>
      </c>
      <c r="C76" s="700">
        <v>0</v>
      </c>
      <c r="D76" s="699">
        <f t="shared" si="11"/>
        <v>14580.688683</v>
      </c>
      <c r="E76" s="700">
        <f t="shared" si="10"/>
        <v>0</v>
      </c>
      <c r="F76" s="699">
        <v>14580.688683</v>
      </c>
      <c r="G76" s="700">
        <v>0</v>
      </c>
      <c r="H76" s="700">
        <v>0</v>
      </c>
      <c r="I76" s="700">
        <v>0</v>
      </c>
      <c r="J76" s="700">
        <v>0</v>
      </c>
      <c r="K76" s="700">
        <v>0</v>
      </c>
      <c r="L76" s="169" t="e">
        <f t="shared" si="9"/>
        <v>#VALUE!</v>
      </c>
      <c r="M76" s="139">
        <f>27900/1000000</f>
        <v>2.7900000000000001E-2</v>
      </c>
    </row>
    <row r="77" spans="1:13" ht="18.95" customHeight="1">
      <c r="A77" s="707" t="s">
        <v>1430</v>
      </c>
      <c r="B77" s="694"/>
      <c r="C77" s="700">
        <v>0</v>
      </c>
      <c r="D77" s="699">
        <f t="shared" si="11"/>
        <v>277.12200300000001</v>
      </c>
      <c r="E77" s="700">
        <f>+G77+H77+I77</f>
        <v>0</v>
      </c>
      <c r="F77" s="699">
        <v>277.12200300000001</v>
      </c>
      <c r="G77" s="700">
        <v>0</v>
      </c>
      <c r="H77" s="700">
        <v>0</v>
      </c>
      <c r="I77" s="700">
        <v>0</v>
      </c>
      <c r="J77" s="700">
        <v>0</v>
      </c>
      <c r="K77" s="700">
        <v>0</v>
      </c>
      <c r="L77" s="169"/>
    </row>
    <row r="78" spans="1:13" ht="18.95" customHeight="1">
      <c r="A78" s="706" t="s">
        <v>1431</v>
      </c>
      <c r="B78" s="693"/>
      <c r="C78" s="700">
        <v>0</v>
      </c>
      <c r="D78" s="700">
        <f t="shared" si="11"/>
        <v>0</v>
      </c>
      <c r="E78" s="700">
        <f>+G78+H78+I78</f>
        <v>0</v>
      </c>
      <c r="F78" s="698"/>
      <c r="G78" s="700">
        <v>0</v>
      </c>
      <c r="H78" s="700">
        <v>0</v>
      </c>
      <c r="I78" s="700">
        <v>0</v>
      </c>
      <c r="J78" s="700">
        <v>0</v>
      </c>
      <c r="K78" s="700">
        <v>0</v>
      </c>
      <c r="L78" s="169"/>
    </row>
    <row r="79" spans="1:13" s="162" customFormat="1" ht="18.95" customHeight="1">
      <c r="A79" s="706" t="s">
        <v>1432</v>
      </c>
      <c r="B79" s="695">
        <f>B80+B81</f>
        <v>0</v>
      </c>
      <c r="C79" s="700">
        <f>C80+C81</f>
        <v>0</v>
      </c>
      <c r="D79" s="698">
        <f>F79+G79+H79+I79</f>
        <v>25842.599047000003</v>
      </c>
      <c r="E79" s="699">
        <f t="shared" ref="E79:E91" si="12">+G79+H79+I79</f>
        <v>25842.599047000003</v>
      </c>
      <c r="F79" s="698">
        <f>F80+F81</f>
        <v>0</v>
      </c>
      <c r="G79" s="698">
        <f>G80+G81</f>
        <v>425</v>
      </c>
      <c r="H79" s="698">
        <f>H80+H81</f>
        <v>5773.8680000000004</v>
      </c>
      <c r="I79" s="698">
        <f>I80+I81</f>
        <v>19643.731047000001</v>
      </c>
      <c r="J79" s="700">
        <v>0</v>
      </c>
      <c r="K79" s="700">
        <v>0</v>
      </c>
      <c r="L79" s="159"/>
    </row>
    <row r="80" spans="1:13" ht="18.95" customHeight="1">
      <c r="A80" s="707" t="s">
        <v>1433</v>
      </c>
      <c r="B80" s="695">
        <v>0</v>
      </c>
      <c r="C80" s="700">
        <v>0</v>
      </c>
      <c r="D80" s="699">
        <f t="shared" ref="D80:D100" si="13">F80+G80+H80+I80</f>
        <v>23914.059047000002</v>
      </c>
      <c r="E80" s="699">
        <f t="shared" si="12"/>
        <v>23914.059047000002</v>
      </c>
      <c r="F80" s="699"/>
      <c r="G80" s="699"/>
      <c r="H80" s="699">
        <v>5741.8680000000004</v>
      </c>
      <c r="I80" s="699">
        <v>18172.191047</v>
      </c>
      <c r="J80" s="700">
        <v>0</v>
      </c>
      <c r="K80" s="700">
        <v>0</v>
      </c>
      <c r="L80" s="169"/>
    </row>
    <row r="81" spans="1:13" ht="18.95" customHeight="1">
      <c r="A81" s="707" t="s">
        <v>1434</v>
      </c>
      <c r="B81" s="695">
        <v>0</v>
      </c>
      <c r="C81" s="700">
        <v>0</v>
      </c>
      <c r="D81" s="699">
        <f t="shared" si="13"/>
        <v>1928.54</v>
      </c>
      <c r="E81" s="699">
        <f t="shared" si="12"/>
        <v>1928.54</v>
      </c>
      <c r="F81" s="699"/>
      <c r="G81" s="699">
        <v>425</v>
      </c>
      <c r="H81" s="699">
        <v>32</v>
      </c>
      <c r="I81" s="699">
        <v>1471.54</v>
      </c>
      <c r="J81" s="700">
        <v>0</v>
      </c>
      <c r="K81" s="700">
        <v>0</v>
      </c>
      <c r="L81" s="169"/>
    </row>
    <row r="82" spans="1:13" s="162" customFormat="1" ht="22.5" customHeight="1">
      <c r="A82" s="706" t="s">
        <v>1435</v>
      </c>
      <c r="B82" s="695">
        <f>B83+B84</f>
        <v>0</v>
      </c>
      <c r="C82" s="700">
        <f>C83+C84</f>
        <v>0</v>
      </c>
      <c r="D82" s="700">
        <f t="shared" si="13"/>
        <v>0</v>
      </c>
      <c r="E82" s="700">
        <f t="shared" si="12"/>
        <v>0</v>
      </c>
      <c r="F82" s="698">
        <f>F83+F84</f>
        <v>0</v>
      </c>
      <c r="G82" s="698">
        <f>G83+G84</f>
        <v>0</v>
      </c>
      <c r="H82" s="698">
        <f>H83+H84</f>
        <v>0</v>
      </c>
      <c r="I82" s="698">
        <f>I83+I84</f>
        <v>0</v>
      </c>
      <c r="J82" s="700">
        <v>0</v>
      </c>
      <c r="K82" s="700">
        <v>0</v>
      </c>
      <c r="L82" s="159"/>
    </row>
    <row r="83" spans="1:13" ht="18.95" customHeight="1">
      <c r="A83" s="707" t="s">
        <v>1436</v>
      </c>
      <c r="B83" s="694"/>
      <c r="C83" s="700">
        <v>0</v>
      </c>
      <c r="D83" s="700">
        <f t="shared" si="13"/>
        <v>0</v>
      </c>
      <c r="E83" s="700">
        <f t="shared" si="12"/>
        <v>0</v>
      </c>
      <c r="F83" s="699"/>
      <c r="G83" s="699"/>
      <c r="H83" s="699"/>
      <c r="I83" s="699"/>
      <c r="J83" s="700">
        <v>0</v>
      </c>
      <c r="K83" s="700">
        <v>0</v>
      </c>
      <c r="L83" s="169"/>
    </row>
    <row r="84" spans="1:13" s="576" customFormat="1" ht="18.95" customHeight="1">
      <c r="A84" s="706" t="s">
        <v>1437</v>
      </c>
      <c r="B84" s="693"/>
      <c r="C84" s="700">
        <v>0</v>
      </c>
      <c r="D84" s="700">
        <f t="shared" si="13"/>
        <v>0</v>
      </c>
      <c r="E84" s="700">
        <f t="shared" si="12"/>
        <v>0</v>
      </c>
      <c r="F84" s="698"/>
      <c r="G84" s="698"/>
      <c r="H84" s="698"/>
      <c r="I84" s="698"/>
      <c r="J84" s="700">
        <v>0</v>
      </c>
      <c r="K84" s="700">
        <v>0</v>
      </c>
      <c r="L84" s="575"/>
    </row>
    <row r="85" spans="1:13" s="162" customFormat="1" ht="32.25" hidden="1" customHeight="1">
      <c r="A85" s="706" t="s">
        <v>274</v>
      </c>
      <c r="B85" s="693">
        <f>B86+B89</f>
        <v>0</v>
      </c>
      <c r="C85" s="698">
        <f>C86+C89</f>
        <v>0</v>
      </c>
      <c r="D85" s="699">
        <f t="shared" si="13"/>
        <v>0</v>
      </c>
      <c r="E85" s="699">
        <f t="shared" si="12"/>
        <v>0</v>
      </c>
      <c r="F85" s="698">
        <f>F86+F89</f>
        <v>0</v>
      </c>
      <c r="G85" s="698">
        <f>G86+G89</f>
        <v>0</v>
      </c>
      <c r="H85" s="698">
        <f>H86+H89</f>
        <v>0</v>
      </c>
      <c r="I85" s="698">
        <f>I86+I89</f>
        <v>0</v>
      </c>
      <c r="J85" s="700"/>
      <c r="K85" s="700"/>
      <c r="L85" s="159"/>
    </row>
    <row r="86" spans="1:13" s="162" customFormat="1" ht="18.75" hidden="1" customHeight="1">
      <c r="A86" s="706" t="s">
        <v>275</v>
      </c>
      <c r="B86" s="693">
        <f>B87+B88</f>
        <v>0</v>
      </c>
      <c r="C86" s="698">
        <f>C87+C88</f>
        <v>0</v>
      </c>
      <c r="D86" s="699">
        <f t="shared" si="13"/>
        <v>0</v>
      </c>
      <c r="E86" s="699">
        <f t="shared" si="12"/>
        <v>0</v>
      </c>
      <c r="F86" s="698">
        <f>F87+F88</f>
        <v>0</v>
      </c>
      <c r="G86" s="698">
        <f>G87+G88</f>
        <v>0</v>
      </c>
      <c r="H86" s="698">
        <f>H87+H88</f>
        <v>0</v>
      </c>
      <c r="I86" s="698">
        <f>I87+I88</f>
        <v>0</v>
      </c>
      <c r="J86" s="700"/>
      <c r="K86" s="700"/>
      <c r="L86" s="159"/>
    </row>
    <row r="87" spans="1:13" ht="18.75" hidden="1" customHeight="1">
      <c r="A87" s="707" t="s">
        <v>276</v>
      </c>
      <c r="B87" s="694"/>
      <c r="C87" s="699"/>
      <c r="D87" s="699">
        <f t="shared" si="13"/>
        <v>0</v>
      </c>
      <c r="E87" s="699">
        <f t="shared" si="12"/>
        <v>0</v>
      </c>
      <c r="F87" s="699"/>
      <c r="G87" s="699"/>
      <c r="H87" s="699"/>
      <c r="I87" s="699"/>
      <c r="J87" s="700"/>
      <c r="K87" s="700"/>
      <c r="L87" s="169"/>
    </row>
    <row r="88" spans="1:13" ht="18.75" hidden="1" customHeight="1">
      <c r="A88" s="707" t="s">
        <v>277</v>
      </c>
      <c r="B88" s="694"/>
      <c r="C88" s="699"/>
      <c r="D88" s="699">
        <f t="shared" si="13"/>
        <v>0</v>
      </c>
      <c r="E88" s="699">
        <f t="shared" si="12"/>
        <v>0</v>
      </c>
      <c r="F88" s="699"/>
      <c r="G88" s="699"/>
      <c r="H88" s="699"/>
      <c r="I88" s="699"/>
      <c r="J88" s="700"/>
      <c r="K88" s="700"/>
      <c r="L88" s="169"/>
    </row>
    <row r="89" spans="1:13" s="162" customFormat="1" ht="18" hidden="1" customHeight="1">
      <c r="A89" s="706" t="s">
        <v>278</v>
      </c>
      <c r="B89" s="693">
        <f>B90+B91</f>
        <v>0</v>
      </c>
      <c r="C89" s="698">
        <f>C90+C91</f>
        <v>0</v>
      </c>
      <c r="D89" s="699">
        <f t="shared" si="13"/>
        <v>0</v>
      </c>
      <c r="E89" s="699">
        <f t="shared" si="12"/>
        <v>0</v>
      </c>
      <c r="F89" s="698">
        <f>F90+F91</f>
        <v>0</v>
      </c>
      <c r="G89" s="698">
        <f>G90+G91</f>
        <v>0</v>
      </c>
      <c r="H89" s="698">
        <f>H90+H91</f>
        <v>0</v>
      </c>
      <c r="I89" s="698">
        <f>I90+I91</f>
        <v>0</v>
      </c>
      <c r="J89" s="700"/>
      <c r="K89" s="700"/>
      <c r="L89" s="159"/>
    </row>
    <row r="90" spans="1:13" ht="18.75" hidden="1" customHeight="1">
      <c r="A90" s="707" t="s">
        <v>276</v>
      </c>
      <c r="B90" s="694"/>
      <c r="C90" s="699"/>
      <c r="D90" s="699">
        <f t="shared" si="13"/>
        <v>0</v>
      </c>
      <c r="E90" s="699">
        <f t="shared" si="12"/>
        <v>0</v>
      </c>
      <c r="F90" s="699"/>
      <c r="G90" s="699"/>
      <c r="H90" s="699"/>
      <c r="I90" s="699"/>
      <c r="J90" s="700"/>
      <c r="K90" s="700"/>
      <c r="L90" s="169"/>
    </row>
    <row r="91" spans="1:13" hidden="1">
      <c r="A91" s="707" t="s">
        <v>277</v>
      </c>
      <c r="B91" s="694"/>
      <c r="C91" s="699"/>
      <c r="D91" s="699">
        <f t="shared" si="13"/>
        <v>0</v>
      </c>
      <c r="E91" s="699">
        <f t="shared" si="12"/>
        <v>0</v>
      </c>
      <c r="F91" s="699"/>
      <c r="G91" s="699"/>
      <c r="H91" s="699"/>
      <c r="I91" s="699"/>
      <c r="J91" s="700"/>
      <c r="K91" s="700"/>
      <c r="L91" s="169"/>
      <c r="M91" s="142">
        <f>G98+H98</f>
        <v>515.46299999999997</v>
      </c>
    </row>
    <row r="92" spans="1:13" s="162" customFormat="1" ht="18.95" customHeight="1">
      <c r="A92" s="706" t="s">
        <v>1438</v>
      </c>
      <c r="B92" s="693">
        <f>B93+B98</f>
        <v>0</v>
      </c>
      <c r="C92" s="700">
        <f>C93+C98</f>
        <v>0</v>
      </c>
      <c r="D92" s="698">
        <f>F92+G92+H92+I92</f>
        <v>9358451.2566500027</v>
      </c>
      <c r="E92" s="698">
        <f>+E93+E98</f>
        <v>4954087.447168001</v>
      </c>
      <c r="F92" s="698">
        <f>F93+F98</f>
        <v>2655</v>
      </c>
      <c r="G92" s="698">
        <f>G93+G98</f>
        <v>4953789.447168001</v>
      </c>
      <c r="H92" s="698">
        <f>H93+H98</f>
        <v>3530126.5199640002</v>
      </c>
      <c r="I92" s="698">
        <f>I93+I98</f>
        <v>871880.28951799998</v>
      </c>
      <c r="J92" s="700">
        <v>0</v>
      </c>
      <c r="K92" s="700">
        <v>0</v>
      </c>
      <c r="L92" s="159"/>
    </row>
    <row r="93" spans="1:13" s="162" customFormat="1" ht="18" hidden="1" customHeight="1">
      <c r="A93" s="706" t="s">
        <v>280</v>
      </c>
      <c r="B93" s="693">
        <f>B94+B95</f>
        <v>0</v>
      </c>
      <c r="C93" s="700">
        <f>C94+C95</f>
        <v>0</v>
      </c>
      <c r="D93" s="698">
        <f t="shared" si="13"/>
        <v>9355280.7936500013</v>
      </c>
      <c r="E93" s="698">
        <f>+E94+E95</f>
        <v>4953571.9841680005</v>
      </c>
      <c r="F93" s="698">
        <f>F94+F95</f>
        <v>0</v>
      </c>
      <c r="G93" s="698">
        <f>G94+G95</f>
        <v>4953571.9841680005</v>
      </c>
      <c r="H93" s="698">
        <f>H94+H95</f>
        <v>3529828.5199640002</v>
      </c>
      <c r="I93" s="698">
        <f>I94+I95</f>
        <v>871880.28951799998</v>
      </c>
      <c r="J93" s="700">
        <v>0</v>
      </c>
      <c r="K93" s="700">
        <v>0</v>
      </c>
      <c r="L93" s="159"/>
    </row>
    <row r="94" spans="1:13" s="162" customFormat="1" ht="18" hidden="1" customHeight="1">
      <c r="A94" s="706" t="s">
        <v>281</v>
      </c>
      <c r="B94" s="693"/>
      <c r="C94" s="700">
        <v>0</v>
      </c>
      <c r="D94" s="698">
        <f t="shared" si="13"/>
        <v>6217781.6362659996</v>
      </c>
      <c r="E94" s="698">
        <f>+G94</f>
        <v>3196428</v>
      </c>
      <c r="F94" s="698"/>
      <c r="G94" s="698">
        <v>3196428</v>
      </c>
      <c r="H94" s="698">
        <v>2463207</v>
      </c>
      <c r="I94" s="698">
        <v>558146.63626599999</v>
      </c>
      <c r="J94" s="700">
        <v>0</v>
      </c>
      <c r="K94" s="700">
        <v>0</v>
      </c>
      <c r="L94" s="159"/>
    </row>
    <row r="95" spans="1:13" s="162" customFormat="1" ht="18" hidden="1" customHeight="1">
      <c r="A95" s="706" t="s">
        <v>282</v>
      </c>
      <c r="B95" s="693">
        <f>B96+B97</f>
        <v>0</v>
      </c>
      <c r="C95" s="700">
        <f>C96+C97</f>
        <v>0</v>
      </c>
      <c r="D95" s="698">
        <f t="shared" si="13"/>
        <v>3137499.1573839998</v>
      </c>
      <c r="E95" s="698">
        <f>+G95</f>
        <v>1757143.9841680001</v>
      </c>
      <c r="F95" s="698">
        <f>F96+F97</f>
        <v>0</v>
      </c>
      <c r="G95" s="698">
        <f>G96+G97</f>
        <v>1757143.9841680001</v>
      </c>
      <c r="H95" s="698">
        <f>H96+H97</f>
        <v>1066621.519964</v>
      </c>
      <c r="I95" s="698">
        <f>I96+I97</f>
        <v>313733.65325199999</v>
      </c>
      <c r="J95" s="700">
        <v>0</v>
      </c>
      <c r="K95" s="700">
        <v>0</v>
      </c>
      <c r="L95" s="159"/>
    </row>
    <row r="96" spans="1:13" ht="18" hidden="1" customHeight="1">
      <c r="A96" s="707" t="s">
        <v>283</v>
      </c>
      <c r="B96" s="694"/>
      <c r="C96" s="700">
        <v>0</v>
      </c>
      <c r="D96" s="699">
        <f>F96+G96+H96+I96</f>
        <v>2770618.4005610002</v>
      </c>
      <c r="E96" s="698">
        <f>+G96</f>
        <v>1390263.227345</v>
      </c>
      <c r="F96" s="699"/>
      <c r="G96" s="704">
        <v>1390263.227345</v>
      </c>
      <c r="H96" s="699">
        <v>1066621.519964</v>
      </c>
      <c r="I96" s="699">
        <v>313733.65325199999</v>
      </c>
      <c r="J96" s="700">
        <v>0</v>
      </c>
      <c r="K96" s="700">
        <v>0</v>
      </c>
      <c r="L96" s="169"/>
      <c r="M96" s="142">
        <f>G96+G97</f>
        <v>1757143.9841680001</v>
      </c>
    </row>
    <row r="97" spans="1:14" ht="18" hidden="1" customHeight="1">
      <c r="A97" s="707" t="s">
        <v>284</v>
      </c>
      <c r="B97" s="694"/>
      <c r="C97" s="700">
        <v>0</v>
      </c>
      <c r="D97" s="699">
        <f t="shared" si="13"/>
        <v>366880.75682299997</v>
      </c>
      <c r="E97" s="698">
        <f>+G97</f>
        <v>366880.75682299997</v>
      </c>
      <c r="F97" s="699"/>
      <c r="G97" s="699">
        <v>366880.75682299997</v>
      </c>
      <c r="H97" s="699"/>
      <c r="I97" s="699"/>
      <c r="J97" s="700">
        <v>0</v>
      </c>
      <c r="K97" s="700">
        <v>0</v>
      </c>
      <c r="L97" s="169"/>
      <c r="M97" s="139">
        <v>1664334.9840579999</v>
      </c>
      <c r="N97" s="142">
        <f>M96-M97</f>
        <v>92809.000110000139</v>
      </c>
    </row>
    <row r="98" spans="1:14" s="162" customFormat="1" ht="18" hidden="1" customHeight="1">
      <c r="A98" s="706" t="s">
        <v>285</v>
      </c>
      <c r="B98" s="693"/>
      <c r="C98" s="700">
        <v>0</v>
      </c>
      <c r="D98" s="698">
        <f t="shared" si="13"/>
        <v>3170.4630000000002</v>
      </c>
      <c r="E98" s="698">
        <f>G98+H98</f>
        <v>515.46299999999997</v>
      </c>
      <c r="F98" s="698">
        <v>2655</v>
      </c>
      <c r="G98" s="698">
        <v>217.46299999999999</v>
      </c>
      <c r="H98" s="698">
        <v>298</v>
      </c>
      <c r="I98" s="698"/>
      <c r="J98" s="700">
        <v>0</v>
      </c>
      <c r="K98" s="700">
        <v>0</v>
      </c>
      <c r="L98" s="159"/>
    </row>
    <row r="99" spans="1:14" s="162" customFormat="1" ht="18.95" customHeight="1">
      <c r="A99" s="706" t="s">
        <v>1439</v>
      </c>
      <c r="B99" s="693"/>
      <c r="C99" s="700">
        <v>0</v>
      </c>
      <c r="D99" s="698">
        <f t="shared" si="13"/>
        <v>988742.91058799997</v>
      </c>
      <c r="E99" s="698">
        <f>+G99+H99+I99</f>
        <v>988742.91058799997</v>
      </c>
      <c r="F99" s="698"/>
      <c r="G99" s="698">
        <v>761269.25030700001</v>
      </c>
      <c r="H99" s="698">
        <v>208973.69497300001</v>
      </c>
      <c r="I99" s="698">
        <v>18499.965307999999</v>
      </c>
      <c r="J99" s="700">
        <v>0</v>
      </c>
      <c r="K99" s="700">
        <v>0</v>
      </c>
      <c r="L99" s="159"/>
      <c r="M99" s="162">
        <v>988742.91058799997</v>
      </c>
      <c r="N99" s="165">
        <f>+M99-D99</f>
        <v>0</v>
      </c>
    </row>
    <row r="100" spans="1:14" s="162" customFormat="1" ht="18.95" customHeight="1">
      <c r="A100" s="706" t="s">
        <v>1440</v>
      </c>
      <c r="B100" s="693"/>
      <c r="C100" s="700">
        <v>0</v>
      </c>
      <c r="D100" s="698">
        <f t="shared" si="13"/>
        <v>63134.217701000001</v>
      </c>
      <c r="E100" s="698">
        <f>+H100+I100</f>
        <v>63134.217701000001</v>
      </c>
      <c r="F100" s="698"/>
      <c r="G100" s="698"/>
      <c r="H100" s="698">
        <v>47887.595966000001</v>
      </c>
      <c r="I100" s="698">
        <v>15246.621735000001</v>
      </c>
      <c r="J100" s="700">
        <v>0</v>
      </c>
      <c r="K100" s="700">
        <v>0</v>
      </c>
      <c r="L100" s="159"/>
    </row>
    <row r="101" spans="1:14" s="206" customFormat="1" ht="18" hidden="1" customHeight="1">
      <c r="A101" s="689" t="s">
        <v>288</v>
      </c>
      <c r="B101" s="690">
        <v>0</v>
      </c>
      <c r="C101" s="690">
        <v>0</v>
      </c>
      <c r="D101" s="690">
        <f>+F101+G101+H101+I101</f>
        <v>0</v>
      </c>
      <c r="E101" s="690"/>
      <c r="F101" s="690">
        <v>0</v>
      </c>
      <c r="G101" s="691"/>
      <c r="H101" s="690">
        <v>0</v>
      </c>
      <c r="I101" s="690"/>
      <c r="J101" s="579"/>
      <c r="K101" s="690"/>
      <c r="L101" s="205"/>
      <c r="M101" s="206" t="s">
        <v>289</v>
      </c>
    </row>
    <row r="102" spans="1:14" s="162" customFormat="1" ht="18" hidden="1" customHeight="1">
      <c r="A102" s="207" t="s">
        <v>290</v>
      </c>
      <c r="B102" s="199"/>
      <c r="C102" s="199"/>
      <c r="D102" s="199">
        <f>+F102+G102+H102+I102</f>
        <v>0</v>
      </c>
      <c r="E102" s="199"/>
      <c r="F102" s="199"/>
      <c r="G102" s="200"/>
      <c r="H102" s="199"/>
      <c r="I102" s="199"/>
      <c r="J102" s="201"/>
      <c r="K102" s="199"/>
      <c r="L102" s="159" t="e">
        <f>D102/"#REF!*100"</f>
        <v>#VALUE!</v>
      </c>
    </row>
    <row r="103" spans="1:14" s="162" customFormat="1" ht="18" hidden="1" customHeight="1">
      <c r="A103" s="207" t="s">
        <v>291</v>
      </c>
      <c r="B103" s="199">
        <v>0</v>
      </c>
      <c r="C103" s="199">
        <v>0</v>
      </c>
      <c r="D103" s="199">
        <f>+F103+G103+H103+I103</f>
        <v>0</v>
      </c>
      <c r="E103" s="199"/>
      <c r="F103" s="199"/>
      <c r="G103" s="200"/>
      <c r="H103" s="199"/>
      <c r="I103" s="199"/>
      <c r="J103" s="201"/>
      <c r="K103" s="199"/>
      <c r="L103" s="159" t="e">
        <f>D103/"#REF!*100"</f>
        <v>#VALUE!</v>
      </c>
    </row>
    <row r="104" spans="1:14" s="162" customFormat="1" ht="18" hidden="1" customHeight="1">
      <c r="A104" s="207" t="s">
        <v>292</v>
      </c>
      <c r="B104" s="199">
        <v>0</v>
      </c>
      <c r="C104" s="199"/>
      <c r="D104" s="199">
        <f>+F104+G104+H104+I104</f>
        <v>0</v>
      </c>
      <c r="E104" s="199"/>
      <c r="F104" s="199"/>
      <c r="G104" s="200"/>
      <c r="H104" s="199"/>
      <c r="I104" s="199"/>
      <c r="J104" s="201"/>
      <c r="K104" s="199"/>
      <c r="L104" s="159" t="e">
        <f>D104/"#REF!*100"</f>
        <v>#VALUE!</v>
      </c>
    </row>
    <row r="105" spans="1:14" ht="18" hidden="1" customHeight="1">
      <c r="A105" s="207" t="s">
        <v>293</v>
      </c>
      <c r="B105" s="199">
        <f>SUM(B107:B108)</f>
        <v>0</v>
      </c>
      <c r="C105" s="199">
        <f>+C107+C108+C109</f>
        <v>0</v>
      </c>
      <c r="D105" s="200">
        <f>+D107+D108+D109</f>
        <v>0</v>
      </c>
      <c r="E105" s="200"/>
      <c r="F105" s="199">
        <f>F107+F108+F109</f>
        <v>0</v>
      </c>
      <c r="G105" s="200">
        <f>G107+G108+G109</f>
        <v>0</v>
      </c>
      <c r="H105" s="199">
        <f>H107+H108+H109</f>
        <v>0</v>
      </c>
      <c r="I105" s="199">
        <f>I107+I108+I109</f>
        <v>0</v>
      </c>
      <c r="J105" s="201"/>
      <c r="K105" s="199" t="e">
        <f>+D105/C105*100</f>
        <v>#DIV/0!</v>
      </c>
      <c r="L105" s="159" t="e">
        <f>D105/"#REF!*100"</f>
        <v>#VALUE!</v>
      </c>
    </row>
    <row r="106" spans="1:14" ht="18" hidden="1" customHeight="1">
      <c r="A106" s="207" t="s">
        <v>294</v>
      </c>
      <c r="B106" s="201"/>
      <c r="C106" s="201"/>
      <c r="D106" s="199"/>
      <c r="E106" s="199"/>
      <c r="F106" s="201"/>
      <c r="G106" s="208"/>
      <c r="H106" s="201"/>
      <c r="I106" s="201"/>
      <c r="J106" s="201"/>
      <c r="K106" s="201"/>
      <c r="L106" s="169"/>
    </row>
    <row r="107" spans="1:14" ht="18" hidden="1" customHeight="1">
      <c r="A107" s="209" t="s">
        <v>295</v>
      </c>
      <c r="B107" s="201">
        <v>0</v>
      </c>
      <c r="C107" s="210"/>
      <c r="D107" s="201">
        <f>G107+H107+I107</f>
        <v>0</v>
      </c>
      <c r="E107" s="201"/>
      <c r="F107" s="201"/>
      <c r="G107" s="208"/>
      <c r="H107" s="201"/>
      <c r="I107" s="201"/>
      <c r="J107" s="201"/>
      <c r="K107" s="201"/>
      <c r="L107" s="169" t="e">
        <f t="shared" ref="L107:L113" si="14">D107/"#REF!*100"</f>
        <v>#VALUE!</v>
      </c>
      <c r="M107" s="142">
        <f>+D107+D108</f>
        <v>0</v>
      </c>
    </row>
    <row r="108" spans="1:14" ht="18" hidden="1" customHeight="1">
      <c r="A108" s="209" t="s">
        <v>296</v>
      </c>
      <c r="B108" s="201">
        <v>0</v>
      </c>
      <c r="C108" s="201">
        <v>0</v>
      </c>
      <c r="D108" s="201">
        <f t="shared" ref="D108:D114" si="15">G108+H108+I108</f>
        <v>0</v>
      </c>
      <c r="E108" s="201"/>
      <c r="F108" s="201"/>
      <c r="G108" s="208"/>
      <c r="H108" s="201"/>
      <c r="I108" s="201"/>
      <c r="J108" s="201"/>
      <c r="K108" s="201"/>
      <c r="L108" s="169" t="e">
        <f t="shared" si="14"/>
        <v>#VALUE!</v>
      </c>
    </row>
    <row r="109" spans="1:14" ht="18" hidden="1" customHeight="1">
      <c r="A109" s="209" t="s">
        <v>297</v>
      </c>
      <c r="B109" s="201"/>
      <c r="C109" s="201"/>
      <c r="D109" s="208">
        <f>+D110+D111+D112+D113+D114</f>
        <v>0</v>
      </c>
      <c r="E109" s="208"/>
      <c r="F109" s="201">
        <f>SUM(F110:F113)</f>
        <v>0</v>
      </c>
      <c r="G109" s="208">
        <f>+G110+G111+G112+G113+G114</f>
        <v>0</v>
      </c>
      <c r="H109" s="201">
        <f>SUM(H110:H113)</f>
        <v>0</v>
      </c>
      <c r="I109" s="201">
        <f>SUM(I110:I113)</f>
        <v>0</v>
      </c>
      <c r="J109" s="201"/>
      <c r="K109" s="201" t="e">
        <f>+D109/C109*100</f>
        <v>#DIV/0!</v>
      </c>
      <c r="L109" s="169" t="e">
        <f t="shared" si="14"/>
        <v>#VALUE!</v>
      </c>
    </row>
    <row r="110" spans="1:14" ht="18" hidden="1" customHeight="1">
      <c r="A110" s="209" t="s">
        <v>298</v>
      </c>
      <c r="B110" s="201"/>
      <c r="C110" s="201"/>
      <c r="D110" s="201">
        <f t="shared" si="15"/>
        <v>0</v>
      </c>
      <c r="E110" s="201"/>
      <c r="F110" s="201"/>
      <c r="G110" s="208"/>
      <c r="H110" s="201"/>
      <c r="I110" s="201"/>
      <c r="J110" s="201"/>
      <c r="K110" s="201"/>
      <c r="L110" s="169" t="e">
        <f t="shared" si="14"/>
        <v>#VALUE!</v>
      </c>
    </row>
    <row r="111" spans="1:14" ht="18" hidden="1" customHeight="1">
      <c r="A111" s="209" t="s">
        <v>222</v>
      </c>
      <c r="B111" s="201"/>
      <c r="C111" s="201"/>
      <c r="D111" s="201">
        <f t="shared" si="15"/>
        <v>0</v>
      </c>
      <c r="E111" s="201"/>
      <c r="F111" s="201"/>
      <c r="G111" s="208"/>
      <c r="H111" s="201"/>
      <c r="I111" s="201"/>
      <c r="J111" s="201"/>
      <c r="K111" s="201"/>
      <c r="L111" s="169" t="e">
        <f t="shared" si="14"/>
        <v>#VALUE!</v>
      </c>
    </row>
    <row r="112" spans="1:14" ht="18" hidden="1" customHeight="1">
      <c r="A112" s="209" t="s">
        <v>299</v>
      </c>
      <c r="B112" s="201"/>
      <c r="C112" s="201"/>
      <c r="D112" s="201">
        <f t="shared" si="15"/>
        <v>0</v>
      </c>
      <c r="E112" s="201"/>
      <c r="F112" s="201"/>
      <c r="G112" s="208"/>
      <c r="H112" s="201"/>
      <c r="I112" s="201"/>
      <c r="J112" s="201"/>
      <c r="K112" s="201"/>
      <c r="L112" s="169" t="e">
        <f t="shared" si="14"/>
        <v>#VALUE!</v>
      </c>
    </row>
    <row r="113" spans="1:14" ht="18" hidden="1" customHeight="1">
      <c r="A113" s="209" t="s">
        <v>300</v>
      </c>
      <c r="B113" s="201"/>
      <c r="C113" s="201"/>
      <c r="D113" s="201">
        <f t="shared" si="15"/>
        <v>0</v>
      </c>
      <c r="E113" s="201"/>
      <c r="F113" s="201"/>
      <c r="G113" s="208"/>
      <c r="H113" s="201"/>
      <c r="I113" s="201"/>
      <c r="J113" s="201"/>
      <c r="K113" s="201"/>
      <c r="L113" s="169" t="e">
        <f t="shared" si="14"/>
        <v>#VALUE!</v>
      </c>
    </row>
    <row r="114" spans="1:14" ht="18" hidden="1" customHeight="1">
      <c r="A114" s="209" t="s">
        <v>301</v>
      </c>
      <c r="B114" s="201"/>
      <c r="C114" s="201"/>
      <c r="D114" s="201">
        <f t="shared" si="15"/>
        <v>0</v>
      </c>
      <c r="E114" s="201"/>
      <c r="F114" s="201"/>
      <c r="G114" s="208"/>
      <c r="H114" s="201"/>
      <c r="I114" s="201"/>
      <c r="J114" s="201"/>
      <c r="K114" s="201"/>
      <c r="L114" s="169"/>
    </row>
    <row r="115" spans="1:14" ht="18" hidden="1" customHeight="1">
      <c r="A115" s="207" t="s">
        <v>302</v>
      </c>
      <c r="B115" s="211">
        <f>+B116+B117</f>
        <v>0</v>
      </c>
      <c r="C115" s="211">
        <f>+C116+C117</f>
        <v>0</v>
      </c>
      <c r="D115" s="199">
        <f t="shared" ref="D115:D121" si="16">+F115+G115+H115+I115</f>
        <v>3841252.2598970002</v>
      </c>
      <c r="E115" s="199"/>
      <c r="F115" s="199">
        <f>+F116+F117</f>
        <v>0</v>
      </c>
      <c r="G115" s="200">
        <f>+G116+G117+G120</f>
        <v>2359441.4879370001</v>
      </c>
      <c r="H115" s="199">
        <f>+H116+H117</f>
        <v>1110290.815073</v>
      </c>
      <c r="I115" s="199">
        <f>+I116+I117</f>
        <v>371519.95688700001</v>
      </c>
      <c r="J115" s="201"/>
      <c r="K115" s="199"/>
      <c r="L115" s="159" t="e">
        <f>D115/"#REF!*100"</f>
        <v>#VALUE!</v>
      </c>
      <c r="M115" s="142">
        <f>+D115+D121</f>
        <v>3847415.88136</v>
      </c>
    </row>
    <row r="116" spans="1:14" ht="18" hidden="1" customHeight="1">
      <c r="A116" s="212" t="s">
        <v>303</v>
      </c>
      <c r="B116" s="211">
        <v>0</v>
      </c>
      <c r="C116" s="211">
        <v>0</v>
      </c>
      <c r="D116" s="201">
        <f t="shared" si="16"/>
        <v>0</v>
      </c>
      <c r="E116" s="201"/>
      <c r="F116" s="201"/>
      <c r="G116" s="208"/>
      <c r="H116" s="213"/>
      <c r="I116" s="201"/>
      <c r="J116" s="201"/>
      <c r="K116" s="201"/>
      <c r="L116" s="169" t="e">
        <f>D116/"#REF!*100"</f>
        <v>#VALUE!</v>
      </c>
    </row>
    <row r="117" spans="1:14" ht="18" hidden="1" customHeight="1">
      <c r="A117" s="212" t="s">
        <v>304</v>
      </c>
      <c r="B117" s="211">
        <f>+B118+B119</f>
        <v>0</v>
      </c>
      <c r="C117" s="211">
        <f>+C118+C119</f>
        <v>0</v>
      </c>
      <c r="D117" s="201">
        <f t="shared" si="16"/>
        <v>3841252.2598970002</v>
      </c>
      <c r="E117" s="201"/>
      <c r="F117" s="201">
        <f>+F118+F119</f>
        <v>0</v>
      </c>
      <c r="G117" s="208">
        <f>+G118+G119</f>
        <v>2359441.4879370001</v>
      </c>
      <c r="H117" s="214">
        <f>+H118+H119</f>
        <v>1110290.815073</v>
      </c>
      <c r="I117" s="214">
        <f>+I118+I119</f>
        <v>371519.95688700001</v>
      </c>
      <c r="J117" s="201"/>
      <c r="K117" s="201"/>
      <c r="L117" s="215" t="e">
        <f>D117/"#REF!*100"</f>
        <v>#VALUE!</v>
      </c>
    </row>
    <row r="118" spans="1:14" ht="18" hidden="1" customHeight="1">
      <c r="A118" s="212" t="s">
        <v>305</v>
      </c>
      <c r="B118" s="211">
        <v>0</v>
      </c>
      <c r="C118" s="211">
        <v>0</v>
      </c>
      <c r="D118" s="201">
        <f t="shared" si="16"/>
        <v>3623885.4719600007</v>
      </c>
      <c r="E118" s="201"/>
      <c r="F118" s="201"/>
      <c r="G118" s="208">
        <f>2006074.7+136000+26176-26176</f>
        <v>2142074.7000000002</v>
      </c>
      <c r="H118" s="213">
        <v>1110290.815073</v>
      </c>
      <c r="I118" s="201">
        <v>371519.95688700001</v>
      </c>
      <c r="J118" s="201"/>
      <c r="K118" s="201"/>
      <c r="L118" s="215" t="e">
        <f>D118/"#REF!*100"</f>
        <v>#VALUE!</v>
      </c>
    </row>
    <row r="119" spans="1:14" ht="18" hidden="1" customHeight="1">
      <c r="A119" s="212" t="s">
        <v>306</v>
      </c>
      <c r="B119" s="211">
        <v>0</v>
      </c>
      <c r="C119" s="211">
        <v>0</v>
      </c>
      <c r="D119" s="201">
        <f t="shared" si="16"/>
        <v>217366.78793699999</v>
      </c>
      <c r="E119" s="201"/>
      <c r="F119" s="201"/>
      <c r="G119" s="214">
        <v>217366.78793699999</v>
      </c>
      <c r="H119" s="201"/>
      <c r="I119" s="201"/>
      <c r="J119" s="201"/>
      <c r="K119" s="201"/>
      <c r="L119" s="215" t="e">
        <f>D119/"#REF!*100"</f>
        <v>#VALUE!</v>
      </c>
      <c r="M119" s="139">
        <v>46547</v>
      </c>
      <c r="N119" s="142">
        <v>170729.78793699999</v>
      </c>
    </row>
    <row r="120" spans="1:14" s="221" customFormat="1" ht="30" hidden="1">
      <c r="A120" s="216" t="s">
        <v>307</v>
      </c>
      <c r="B120" s="217"/>
      <c r="C120" s="217"/>
      <c r="D120" s="218">
        <f t="shared" si="16"/>
        <v>0</v>
      </c>
      <c r="E120" s="218"/>
      <c r="F120" s="218"/>
      <c r="G120" s="219"/>
      <c r="H120" s="218"/>
      <c r="I120" s="218"/>
      <c r="J120" s="201"/>
      <c r="K120" s="218"/>
      <c r="L120" s="220"/>
      <c r="N120" s="222"/>
    </row>
    <row r="121" spans="1:14" s="162" customFormat="1" ht="18" hidden="1" customHeight="1">
      <c r="A121" s="223" t="s">
        <v>308</v>
      </c>
      <c r="B121" s="224">
        <v>0</v>
      </c>
      <c r="C121" s="224">
        <v>0</v>
      </c>
      <c r="D121" s="199">
        <f t="shared" si="16"/>
        <v>6163.6214630000004</v>
      </c>
      <c r="E121" s="199"/>
      <c r="F121" s="199"/>
      <c r="G121" s="200">
        <v>6163.6214630000004</v>
      </c>
      <c r="H121" s="199"/>
      <c r="I121" s="199">
        <v>0</v>
      </c>
      <c r="J121" s="201"/>
      <c r="K121" s="199"/>
      <c r="L121" s="225" t="e">
        <f>D121/"#REF!*100"</f>
        <v>#VALUE!</v>
      </c>
    </row>
    <row r="122" spans="1:14" ht="18" hidden="1" customHeight="1">
      <c r="A122" s="226" t="s">
        <v>309</v>
      </c>
      <c r="B122" s="199">
        <f>B10</f>
        <v>4237000</v>
      </c>
      <c r="C122" s="199">
        <f t="shared" ref="C122:I122" si="17">C11+C105+C115+C121</f>
        <v>4237000</v>
      </c>
      <c r="D122" s="199">
        <f t="shared" si="17"/>
        <v>8045228.2704019994</v>
      </c>
      <c r="E122" s="199"/>
      <c r="F122" s="199">
        <f t="shared" si="17"/>
        <v>320621.280585</v>
      </c>
      <c r="G122" s="200">
        <f t="shared" si="17"/>
        <v>5544679.0267230002</v>
      </c>
      <c r="H122" s="199">
        <f t="shared" si="17"/>
        <v>1711301.607332</v>
      </c>
      <c r="I122" s="199">
        <f t="shared" si="17"/>
        <v>468626.35576200002</v>
      </c>
      <c r="J122" s="201"/>
      <c r="K122" s="199">
        <f>+G122/C122*100</f>
        <v>130.8633237366769</v>
      </c>
      <c r="L122" s="215"/>
    </row>
    <row r="123" spans="1:14" ht="17.100000000000001" hidden="1" customHeight="1">
      <c r="A123" s="227" t="s">
        <v>310</v>
      </c>
      <c r="B123" s="228"/>
      <c r="C123" s="228"/>
      <c r="D123" s="199">
        <f>F123+G123+H123+I123</f>
        <v>0</v>
      </c>
      <c r="E123" s="199"/>
      <c r="F123" s="229"/>
      <c r="G123" s="230"/>
      <c r="H123" s="230"/>
      <c r="I123" s="230"/>
      <c r="J123" s="201"/>
      <c r="K123" s="231"/>
      <c r="L123" s="215"/>
    </row>
    <row r="124" spans="1:14" ht="17.100000000000001" customHeight="1">
      <c r="A124" s="232"/>
      <c r="B124" s="233"/>
      <c r="C124" s="233"/>
      <c r="D124" s="233"/>
      <c r="E124" s="233"/>
      <c r="F124" s="234"/>
      <c r="G124" s="235"/>
      <c r="H124" s="235"/>
      <c r="I124" s="235"/>
      <c r="J124" s="225"/>
      <c r="K124" s="215"/>
      <c r="L124" s="215"/>
    </row>
    <row r="125" spans="1:14" ht="17.100000000000001" customHeight="1">
      <c r="A125" s="236"/>
      <c r="B125" s="233"/>
      <c r="C125" s="995"/>
      <c r="D125" s="995"/>
      <c r="E125" s="995"/>
      <c r="F125" s="995"/>
      <c r="G125" s="995"/>
      <c r="H125" s="235"/>
      <c r="I125" s="237"/>
      <c r="J125" s="225"/>
      <c r="K125" s="215"/>
      <c r="L125" s="215"/>
    </row>
    <row r="126" spans="1:14" ht="17.100000000000001" customHeight="1">
      <c r="A126" s="238"/>
      <c r="B126" s="233"/>
      <c r="C126" s="233"/>
      <c r="D126" s="239"/>
      <c r="E126" s="239"/>
      <c r="F126" s="239"/>
      <c r="G126" s="239"/>
      <c r="H126" s="235"/>
      <c r="I126" s="240"/>
      <c r="J126" s="225"/>
      <c r="K126" s="215"/>
      <c r="L126" s="215"/>
    </row>
    <row r="127" spans="1:14" ht="17.100000000000001" hidden="1" customHeight="1">
      <c r="A127" s="232"/>
      <c r="B127" s="233"/>
      <c r="C127" s="233"/>
      <c r="D127" s="233"/>
      <c r="E127" s="233"/>
      <c r="F127" s="234"/>
      <c r="G127" s="235"/>
      <c r="H127" s="235"/>
      <c r="I127" s="241"/>
      <c r="J127" s="225"/>
      <c r="K127" s="215"/>
      <c r="L127" s="215"/>
    </row>
    <row r="128" spans="1:14" ht="17.100000000000001" hidden="1" customHeight="1">
      <c r="A128" s="232"/>
      <c r="B128" s="233"/>
      <c r="C128" s="233"/>
      <c r="D128" s="233">
        <v>14244945.773980999</v>
      </c>
      <c r="E128" s="233"/>
      <c r="F128" s="234"/>
      <c r="G128" s="235"/>
      <c r="H128" s="235"/>
      <c r="I128" s="235"/>
      <c r="J128" s="225"/>
      <c r="K128" s="215"/>
      <c r="L128" s="215"/>
    </row>
    <row r="129" spans="1:13" ht="17.100000000000001" hidden="1" customHeight="1">
      <c r="A129" s="232"/>
      <c r="B129" s="233"/>
      <c r="C129" s="233"/>
      <c r="D129" s="233">
        <f>D10-D128</f>
        <v>363195.00000000186</v>
      </c>
      <c r="E129" s="233"/>
      <c r="F129" s="234"/>
      <c r="G129" s="235"/>
      <c r="H129" s="235"/>
      <c r="I129" s="235"/>
      <c r="J129" s="225"/>
      <c r="K129" s="215"/>
      <c r="L129" s="215"/>
    </row>
    <row r="130" spans="1:13" ht="17.100000000000001" hidden="1" customHeight="1">
      <c r="A130" s="232"/>
      <c r="B130" s="233"/>
      <c r="C130" s="233"/>
      <c r="D130" s="562">
        <v>14308355.773980999</v>
      </c>
      <c r="E130" s="562"/>
      <c r="F130" s="234"/>
      <c r="G130" s="235">
        <f>G10</f>
        <v>8894132.6147980001</v>
      </c>
      <c r="H130" s="235"/>
      <c r="I130" s="235"/>
      <c r="J130" s="225"/>
      <c r="K130" s="215"/>
      <c r="L130" s="215"/>
    </row>
    <row r="131" spans="1:13" hidden="1">
      <c r="A131" s="242"/>
      <c r="B131" s="242"/>
      <c r="D131" s="242">
        <f>D130-D128</f>
        <v>63410</v>
      </c>
      <c r="E131" s="242"/>
      <c r="G131" s="138">
        <v>8594347.6147980001</v>
      </c>
      <c r="H131" s="242"/>
      <c r="I131" s="242"/>
      <c r="J131" s="242"/>
    </row>
    <row r="132" spans="1:13" hidden="1">
      <c r="A132" s="243"/>
      <c r="B132" s="244"/>
      <c r="D132" s="245"/>
      <c r="E132" s="245"/>
      <c r="F132" s="246"/>
      <c r="G132" s="244">
        <f>+G130-D129</f>
        <v>8530937.6147979982</v>
      </c>
      <c r="H132" s="243"/>
      <c r="I132" s="245"/>
      <c r="J132" s="244"/>
      <c r="K132" s="247"/>
      <c r="L132" s="247"/>
    </row>
    <row r="133" spans="1:13" hidden="1">
      <c r="G133" s="559">
        <f>+G131-G132</f>
        <v>63410.000000001863</v>
      </c>
      <c r="H133" s="245">
        <v>63410</v>
      </c>
      <c r="I133" s="243"/>
    </row>
    <row r="134" spans="1:13" hidden="1">
      <c r="A134" s="119"/>
      <c r="D134" s="119"/>
      <c r="E134" s="119"/>
      <c r="H134" s="138">
        <f>+G133-H133</f>
        <v>1.862645149230957E-9</v>
      </c>
    </row>
    <row r="135" spans="1:13" hidden="1">
      <c r="A135" s="248">
        <v>14167029008394</v>
      </c>
      <c r="D135" s="119"/>
      <c r="E135" s="119"/>
      <c r="M135" s="139">
        <v>14123853.669837</v>
      </c>
    </row>
    <row r="136" spans="1:13" hidden="1">
      <c r="A136" s="248">
        <v>13067238513595</v>
      </c>
      <c r="D136" s="119"/>
      <c r="E136" s="119"/>
      <c r="G136" s="138">
        <f>+G10</f>
        <v>8894132.6147980001</v>
      </c>
      <c r="M136" s="142">
        <f>+D10</f>
        <v>14608140.773981001</v>
      </c>
    </row>
    <row r="137" spans="1:13" hidden="1">
      <c r="A137" s="119"/>
      <c r="G137" s="138">
        <v>8368559.7895010002</v>
      </c>
      <c r="H137" s="138">
        <v>4426697.8240090003</v>
      </c>
      <c r="M137" s="142">
        <f>+M135-M136</f>
        <v>-484287.10414400138</v>
      </c>
    </row>
    <row r="138" spans="1:13" hidden="1">
      <c r="A138" s="119"/>
      <c r="G138" s="138">
        <f>+G137-G136</f>
        <v>-525572.82529699989</v>
      </c>
      <c r="H138" s="138">
        <f>+H10-H137</f>
        <v>-38699.220846999437</v>
      </c>
    </row>
    <row r="139" spans="1:13" hidden="1">
      <c r="A139" s="119"/>
      <c r="G139" s="138">
        <v>193903</v>
      </c>
    </row>
    <row r="140" spans="1:13" hidden="1">
      <c r="G140" s="138">
        <f>+G138-G139</f>
        <v>-719475.82529699989</v>
      </c>
    </row>
    <row r="141" spans="1:13" hidden="1"/>
  </sheetData>
  <sheetProtection selectLockedCells="1" selectUnlockedCells="1"/>
  <mergeCells count="8">
    <mergeCell ref="J1:K1"/>
    <mergeCell ref="A4:K4"/>
    <mergeCell ref="B8:C8"/>
    <mergeCell ref="F8:I8"/>
    <mergeCell ref="C125:G125"/>
    <mergeCell ref="J8:K8"/>
    <mergeCell ref="E7:K7"/>
    <mergeCell ref="A5:K5"/>
  </mergeCells>
  <printOptions horizontalCentered="1"/>
  <pageMargins left="0.19685039370078741" right="0.19685039370078741" top="0.59055118110236227" bottom="0.59055118110236227" header="0" footer="0.23622047244094491"/>
  <pageSetup paperSize="9" firstPageNumber="0" orientation="portrait" r:id="rId1"/>
  <headerFooter differentFirst="1" alignWithMargins="0">
    <oddFooter>&amp;C&amp;"Times New Roman,Regular"&amp;12&amp;P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34"/>
  <sheetViews>
    <sheetView zoomScale="110" zoomScaleNormal="110" workbookViewId="0">
      <selection activeCell="Z6" sqref="Z6"/>
    </sheetView>
  </sheetViews>
  <sheetFormatPr defaultColWidth="46.7109375" defaultRowHeight="15.75"/>
  <cols>
    <col min="1" max="1" width="4.28515625" style="105" customWidth="1"/>
    <col min="2" max="2" width="54.42578125" style="105" customWidth="1"/>
    <col min="3" max="3" width="11.42578125" style="105" hidden="1" customWidth="1"/>
    <col min="4" max="4" width="8.7109375" style="129" customWidth="1"/>
    <col min="5" max="5" width="8" style="129" customWidth="1"/>
    <col min="6" max="6" width="8.85546875" style="129" customWidth="1"/>
    <col min="7" max="7" width="11.5703125" style="105" customWidth="1"/>
    <col min="8" max="8" width="10.42578125" style="116" customWidth="1"/>
    <col min="9" max="9" width="11.7109375" style="116" hidden="1" customWidth="1"/>
    <col min="10" max="10" width="18" style="116" hidden="1" customWidth="1"/>
    <col min="11" max="11" width="12.140625" style="105" customWidth="1"/>
    <col min="12" max="12" width="10.7109375" style="105" hidden="1" customWidth="1"/>
    <col min="13" max="13" width="12.42578125" style="116" hidden="1" customWidth="1"/>
    <col min="14" max="14" width="11.28515625" style="105" hidden="1" customWidth="1"/>
    <col min="15" max="15" width="10" style="105" hidden="1" customWidth="1"/>
    <col min="16" max="16" width="11" style="116" hidden="1" customWidth="1"/>
    <col min="17" max="17" width="6.85546875" style="116" customWidth="1"/>
    <col min="18" max="18" width="7.140625" style="105" customWidth="1"/>
    <col min="19" max="19" width="9.42578125" style="105" customWidth="1"/>
    <col min="20" max="20" width="0" style="105" hidden="1" customWidth="1"/>
    <col min="21" max="21" width="17.5703125" style="105" hidden="1" customWidth="1"/>
    <col min="22" max="22" width="15.28515625" style="105" hidden="1" customWidth="1"/>
    <col min="23" max="23" width="16.140625" style="105" hidden="1" customWidth="1"/>
    <col min="24" max="25" width="9.140625" style="105" hidden="1" customWidth="1"/>
    <col min="26" max="257" width="9.140625" style="105" customWidth="1"/>
    <col min="258" max="258" width="5.42578125" style="105" customWidth="1"/>
    <col min="259" max="16384" width="46.7109375" style="105"/>
  </cols>
  <sheetData>
    <row r="1" spans="1:23" s="588" customFormat="1" ht="17.100000000000001" customHeight="1">
      <c r="A1" s="711" t="s">
        <v>1355</v>
      </c>
      <c r="D1" s="826"/>
      <c r="E1" s="826"/>
      <c r="F1" s="826"/>
      <c r="H1" s="827"/>
      <c r="I1" s="827"/>
      <c r="J1" s="827"/>
      <c r="M1" s="827"/>
      <c r="N1" s="1011" t="s">
        <v>1339</v>
      </c>
      <c r="O1" s="1011"/>
      <c r="P1" s="1011"/>
      <c r="Q1" s="1011"/>
      <c r="R1" s="1011"/>
      <c r="S1" s="1011"/>
      <c r="T1" s="828"/>
    </row>
    <row r="2" spans="1:23" s="588" customFormat="1" ht="17.100000000000001" customHeight="1">
      <c r="A2" s="711" t="s">
        <v>1360</v>
      </c>
      <c r="D2" s="826"/>
      <c r="E2" s="826"/>
      <c r="F2" s="826"/>
      <c r="H2" s="827"/>
      <c r="I2" s="827"/>
      <c r="J2" s="827"/>
      <c r="M2" s="827"/>
      <c r="N2" s="829"/>
      <c r="O2" s="829"/>
      <c r="P2" s="829"/>
      <c r="Q2" s="829"/>
      <c r="R2" s="829"/>
      <c r="S2" s="829"/>
      <c r="T2" s="828"/>
    </row>
    <row r="3" spans="1:23" ht="21" customHeight="1">
      <c r="N3" s="825"/>
      <c r="O3" s="825"/>
      <c r="P3" s="825"/>
      <c r="Q3" s="825"/>
      <c r="R3" s="825"/>
      <c r="S3" s="825"/>
      <c r="T3" s="107"/>
    </row>
    <row r="4" spans="1:23" ht="47.25" customHeight="1">
      <c r="A4" s="1017" t="s">
        <v>1340</v>
      </c>
      <c r="B4" s="1017"/>
      <c r="C4" s="1017"/>
      <c r="D4" s="1017"/>
      <c r="E4" s="1017"/>
      <c r="F4" s="1017"/>
      <c r="G4" s="1017"/>
      <c r="H4" s="1017"/>
      <c r="I4" s="1017"/>
      <c r="J4" s="1017"/>
      <c r="K4" s="1017"/>
      <c r="L4" s="1017"/>
      <c r="M4" s="1017"/>
      <c r="N4" s="1017"/>
      <c r="O4" s="1017"/>
      <c r="P4" s="1017"/>
      <c r="Q4" s="1017"/>
      <c r="R4" s="1017"/>
      <c r="S4" s="1017"/>
      <c r="T4" s="250"/>
    </row>
    <row r="5" spans="1:23" ht="21" customHeight="1">
      <c r="A5" s="1018" t="s">
        <v>1445</v>
      </c>
      <c r="B5" s="1018"/>
      <c r="C5" s="1018"/>
      <c r="D5" s="1018"/>
      <c r="E5" s="1018"/>
      <c r="F5" s="1018"/>
      <c r="G5" s="1018"/>
      <c r="H5" s="1018"/>
      <c r="I5" s="1018"/>
      <c r="J5" s="1018"/>
      <c r="K5" s="1018"/>
      <c r="L5" s="1018"/>
      <c r="M5" s="1018"/>
      <c r="N5" s="1018"/>
      <c r="O5" s="1018"/>
      <c r="P5" s="1018"/>
      <c r="Q5" s="1018"/>
      <c r="R5" s="1018"/>
      <c r="S5" s="1018"/>
      <c r="T5" s="250"/>
    </row>
    <row r="6" spans="1:23" ht="21" customHeight="1">
      <c r="A6" s="830"/>
      <c r="B6" s="830"/>
      <c r="C6" s="830"/>
      <c r="D6" s="830"/>
      <c r="E6" s="830"/>
      <c r="F6" s="830"/>
      <c r="G6" s="830"/>
      <c r="H6" s="830"/>
      <c r="I6" s="830"/>
      <c r="J6" s="830"/>
      <c r="K6" s="830"/>
      <c r="L6" s="830"/>
      <c r="M6" s="830"/>
      <c r="N6" s="830"/>
      <c r="O6" s="830"/>
      <c r="P6" s="830"/>
      <c r="Q6" s="830"/>
      <c r="R6" s="830"/>
      <c r="S6" s="830"/>
      <c r="T6" s="250"/>
    </row>
    <row r="7" spans="1:23" s="116" customFormat="1" ht="21" customHeight="1">
      <c r="B7" s="108"/>
      <c r="C7" s="251"/>
      <c r="D7" s="252"/>
      <c r="E7" s="252"/>
      <c r="F7" s="252"/>
      <c r="G7" s="253"/>
      <c r="H7" s="254"/>
      <c r="I7" s="255"/>
      <c r="J7" s="255"/>
      <c r="K7" s="1020" t="s">
        <v>38</v>
      </c>
      <c r="L7" s="1020"/>
      <c r="M7" s="1020"/>
      <c r="N7" s="1020"/>
      <c r="O7" s="1020"/>
      <c r="P7" s="1020"/>
      <c r="Q7" s="1020"/>
      <c r="R7" s="1020"/>
      <c r="S7" s="1020"/>
      <c r="T7" s="256"/>
      <c r="U7" s="116">
        <v>3310171</v>
      </c>
      <c r="V7" s="290">
        <f>+U7-F11</f>
        <v>30000</v>
      </c>
    </row>
    <row r="8" spans="1:23" ht="20.100000000000001" customHeight="1">
      <c r="A8" s="1019" t="s">
        <v>39</v>
      </c>
      <c r="B8" s="1016" t="s">
        <v>97</v>
      </c>
      <c r="C8" s="821" t="s">
        <v>94</v>
      </c>
      <c r="D8" s="1016" t="s">
        <v>1314</v>
      </c>
      <c r="E8" s="1016" t="s">
        <v>429</v>
      </c>
      <c r="F8" s="1016"/>
      <c r="G8" s="1016" t="s">
        <v>1338</v>
      </c>
      <c r="H8" s="1016" t="s">
        <v>429</v>
      </c>
      <c r="I8" s="1016"/>
      <c r="J8" s="1016"/>
      <c r="K8" s="1016"/>
      <c r="L8" s="821"/>
      <c r="M8" s="821"/>
      <c r="N8" s="821"/>
      <c r="O8" s="821"/>
      <c r="P8" s="821"/>
      <c r="Q8" s="1016" t="s">
        <v>96</v>
      </c>
      <c r="R8" s="1016"/>
      <c r="S8" s="1016"/>
      <c r="T8" s="585"/>
      <c r="U8" s="115">
        <f>+C12+C30</f>
        <v>7716290</v>
      </c>
    </row>
    <row r="9" spans="1:23" ht="36.75" customHeight="1">
      <c r="A9" s="1019"/>
      <c r="B9" s="1016"/>
      <c r="C9" s="773" t="s">
        <v>99</v>
      </c>
      <c r="D9" s="1016"/>
      <c r="E9" s="833" t="s">
        <v>1342</v>
      </c>
      <c r="F9" s="833" t="s">
        <v>1343</v>
      </c>
      <c r="G9" s="1016"/>
      <c r="H9" s="821" t="s">
        <v>1346</v>
      </c>
      <c r="I9" s="822"/>
      <c r="J9" s="822"/>
      <c r="K9" s="821" t="s">
        <v>1354</v>
      </c>
      <c r="L9" s="822"/>
      <c r="M9" s="822"/>
      <c r="N9" s="822"/>
      <c r="O9" s="822"/>
      <c r="P9" s="822"/>
      <c r="Q9" s="821" t="s">
        <v>1347</v>
      </c>
      <c r="R9" s="821" t="s">
        <v>1348</v>
      </c>
      <c r="S9" s="821" t="s">
        <v>1349</v>
      </c>
      <c r="T9" s="258" t="s">
        <v>316</v>
      </c>
    </row>
    <row r="10" spans="1:23" ht="20.100000000000001" customHeight="1">
      <c r="A10" s="787" t="s">
        <v>51</v>
      </c>
      <c r="B10" s="669" t="s">
        <v>77</v>
      </c>
      <c r="C10" s="669" t="s">
        <v>103</v>
      </c>
      <c r="D10" s="788" t="s">
        <v>1344</v>
      </c>
      <c r="E10" s="788">
        <v>2</v>
      </c>
      <c r="F10" s="788">
        <v>3</v>
      </c>
      <c r="G10" s="669" t="s">
        <v>1345</v>
      </c>
      <c r="H10" s="669" t="s">
        <v>477</v>
      </c>
      <c r="I10" s="669"/>
      <c r="J10" s="669"/>
      <c r="K10" s="669" t="s">
        <v>106</v>
      </c>
      <c r="L10" s="669" t="s">
        <v>327</v>
      </c>
      <c r="M10" s="669" t="s">
        <v>328</v>
      </c>
      <c r="N10" s="669" t="s">
        <v>329</v>
      </c>
      <c r="O10" s="669" t="s">
        <v>330</v>
      </c>
      <c r="P10" s="669" t="s">
        <v>328</v>
      </c>
      <c r="Q10" s="669" t="s">
        <v>1350</v>
      </c>
      <c r="R10" s="669" t="s">
        <v>1351</v>
      </c>
      <c r="S10" s="669" t="s">
        <v>1352</v>
      </c>
      <c r="T10" s="721"/>
      <c r="U10" s="106">
        <f>+P14+M14</f>
        <v>93459.366070999997</v>
      </c>
      <c r="W10" s="106"/>
    </row>
    <row r="11" spans="1:23" s="583" customFormat="1" ht="20.100000000000001" customHeight="1">
      <c r="A11" s="823"/>
      <c r="B11" s="745" t="s">
        <v>1336</v>
      </c>
      <c r="C11" s="834"/>
      <c r="D11" s="786">
        <f>+D12+D84+D101</f>
        <v>7966290</v>
      </c>
      <c r="E11" s="786">
        <f>+E12+E84+E101</f>
        <v>4686119</v>
      </c>
      <c r="F11" s="786">
        <f>+F12+F84+F101</f>
        <v>3280171</v>
      </c>
      <c r="G11" s="746">
        <f>+G12+G84+G101+0.01</f>
        <v>9613425.5131739993</v>
      </c>
      <c r="H11" s="746">
        <f t="shared" ref="H11:K11" si="0">+H12+H84+H101</f>
        <v>5202973.1866060002</v>
      </c>
      <c r="I11" s="746">
        <f t="shared" si="0"/>
        <v>12289.712349000001</v>
      </c>
      <c r="J11" s="746">
        <f t="shared" si="0"/>
        <v>723040.85893299989</v>
      </c>
      <c r="K11" s="746">
        <f t="shared" si="0"/>
        <v>4410452.3165680002</v>
      </c>
      <c r="L11" s="834"/>
      <c r="M11" s="834"/>
      <c r="N11" s="834"/>
      <c r="O11" s="834"/>
      <c r="P11" s="834"/>
      <c r="Q11" s="747">
        <f>G11/D11*100</f>
        <v>120.67631875281968</v>
      </c>
      <c r="R11" s="747">
        <f>H11/E11*100</f>
        <v>111.0294720771282</v>
      </c>
      <c r="S11" s="747">
        <f>K11/F11*100</f>
        <v>134.45799979842513</v>
      </c>
      <c r="T11" s="831"/>
      <c r="U11" s="582">
        <v>20000</v>
      </c>
      <c r="V11" s="582">
        <f>+E11+U11</f>
        <v>4706119</v>
      </c>
      <c r="W11" s="582"/>
    </row>
    <row r="12" spans="1:23" ht="20.100000000000001" customHeight="1">
      <c r="A12" s="748" t="s">
        <v>51</v>
      </c>
      <c r="B12" s="749" t="s">
        <v>1341</v>
      </c>
      <c r="C12" s="750">
        <f>+C13+C39+C79+C80+C84</f>
        <v>7490070</v>
      </c>
      <c r="D12" s="824">
        <f>+D13+D39+D79+D80+D81+D30</f>
        <v>7333828</v>
      </c>
      <c r="E12" s="824">
        <f>+E13+E39+E79+E80+E81+E30</f>
        <v>4053657</v>
      </c>
      <c r="F12" s="824">
        <f>+F13+F39+F79+F80+F81+F30+F84</f>
        <v>3280171</v>
      </c>
      <c r="G12" s="747">
        <f>+H12+K12</f>
        <v>7692770.0788129997</v>
      </c>
      <c r="H12" s="751">
        <f>+H13+H30+H39+H79+H81</f>
        <v>3599211.2894989997</v>
      </c>
      <c r="I12" s="751"/>
      <c r="J12" s="751"/>
      <c r="K12" s="751">
        <f>+K13+K30+K39+K79+K81</f>
        <v>4093558.7893139999</v>
      </c>
      <c r="L12" s="751"/>
      <c r="M12" s="751"/>
      <c r="N12" s="751">
        <f>+N13+N30+N39+N79+N81+N84</f>
        <v>973999.2712229999</v>
      </c>
      <c r="O12" s="747"/>
      <c r="P12" s="751"/>
      <c r="Q12" s="747">
        <f t="shared" ref="Q12:Q75" si="1">G12/D12*100</f>
        <v>104.8943345659729</v>
      </c>
      <c r="R12" s="747">
        <f>H12/E12*100</f>
        <v>88.789241159254459</v>
      </c>
      <c r="S12" s="747">
        <f t="shared" ref="S12" si="2">K12/F12*100</f>
        <v>124.79711543434777</v>
      </c>
      <c r="T12" s="723" t="e">
        <f>+G12/"#REF!*100"</f>
        <v>#VALUE!</v>
      </c>
      <c r="U12" s="106">
        <f>+H12</f>
        <v>3599211.2894989997</v>
      </c>
      <c r="V12" s="105">
        <v>50000</v>
      </c>
      <c r="W12" s="106"/>
    </row>
    <row r="13" spans="1:23" ht="20.100000000000001" customHeight="1">
      <c r="A13" s="748" t="s">
        <v>108</v>
      </c>
      <c r="B13" s="749" t="s">
        <v>54</v>
      </c>
      <c r="C13" s="752">
        <v>1216570</v>
      </c>
      <c r="D13" s="759">
        <v>1459770</v>
      </c>
      <c r="E13" s="759">
        <v>1232770</v>
      </c>
      <c r="F13" s="759">
        <v>227000</v>
      </c>
      <c r="G13" s="751">
        <f>+H13+K13</f>
        <v>1634663.06317</v>
      </c>
      <c r="H13" s="751">
        <f>+H14+H28+H29</f>
        <v>1218591.318548</v>
      </c>
      <c r="I13" s="751"/>
      <c r="J13" s="751"/>
      <c r="K13" s="751">
        <f>+K14+K28+K29</f>
        <v>416071.74462200003</v>
      </c>
      <c r="L13" s="747"/>
      <c r="M13" s="751"/>
      <c r="N13" s="751">
        <f>+N14+N28+N29</f>
        <v>107552.492893</v>
      </c>
      <c r="O13" s="747"/>
      <c r="P13" s="751"/>
      <c r="Q13" s="747">
        <f t="shared" si="1"/>
        <v>111.98086432588697</v>
      </c>
      <c r="R13" s="747">
        <f t="shared" ref="R13:R75" si="3">H13/E13*100</f>
        <v>98.849851841624954</v>
      </c>
      <c r="S13" s="747">
        <f>K13/F13*100</f>
        <v>183.29151745462556</v>
      </c>
      <c r="T13" s="724" t="e">
        <f>+G13/"#REF!*100"</f>
        <v>#VALUE!</v>
      </c>
      <c r="U13" s="106">
        <f>+U12-H81</f>
        <v>3596556.2894989997</v>
      </c>
      <c r="V13" s="129">
        <f>+D11+V12</f>
        <v>8016290</v>
      </c>
    </row>
    <row r="14" spans="1:23" ht="20.100000000000001" customHeight="1">
      <c r="A14" s="748">
        <v>1</v>
      </c>
      <c r="B14" s="749" t="s">
        <v>1443</v>
      </c>
      <c r="C14" s="753">
        <v>0</v>
      </c>
      <c r="D14" s="753">
        <v>0</v>
      </c>
      <c r="E14" s="753">
        <v>0</v>
      </c>
      <c r="F14" s="753">
        <v>0</v>
      </c>
      <c r="G14" s="747">
        <f>H14+K14</f>
        <v>1602663.06317</v>
      </c>
      <c r="H14" s="751">
        <f>+H15+H16+H17+H18+H19+H20+H21+H22+H23+H24+H25+H26+H27</f>
        <v>1186591.318548</v>
      </c>
      <c r="I14" s="751"/>
      <c r="J14" s="751">
        <f>+J15+J16+J17+J18+J19+J20+J21+J22+J23+J24+J25+J26+J27</f>
        <v>723040.85893300013</v>
      </c>
      <c r="K14" s="751">
        <f>+K15+K16+K17+K18+K19+K20+K21+K22+K23+K24+K25+K26+K27</f>
        <v>416071.74462200003</v>
      </c>
      <c r="L14" s="747"/>
      <c r="M14" s="751">
        <f>+SUM(M15:M27)</f>
        <v>12587.647931</v>
      </c>
      <c r="N14" s="751">
        <f>+N15+N16+N17+N18+N19+N20+N21+N22+N23+N24+N25+N26+N27</f>
        <v>107552.492893</v>
      </c>
      <c r="O14" s="751">
        <f>+O15+O16+O17+O18+O19+O20+O21+O22+O23+O24+O25+O26+O27</f>
        <v>0</v>
      </c>
      <c r="P14" s="751">
        <f>+P15+P16+P17+P18+P19+P20+P21+P22+P23+P24+P25+P26+P27</f>
        <v>80871.718139999997</v>
      </c>
      <c r="Q14" s="753">
        <v>0</v>
      </c>
      <c r="R14" s="753">
        <v>0</v>
      </c>
      <c r="S14" s="753">
        <v>0</v>
      </c>
      <c r="T14" s="724"/>
      <c r="U14" s="106">
        <v>7740070</v>
      </c>
    </row>
    <row r="15" spans="1:23" ht="20.100000000000001" customHeight="1">
      <c r="A15" s="754" t="s">
        <v>334</v>
      </c>
      <c r="B15" s="755" t="s">
        <v>335</v>
      </c>
      <c r="C15" s="753">
        <v>0</v>
      </c>
      <c r="D15" s="753">
        <v>0</v>
      </c>
      <c r="E15" s="753">
        <v>0</v>
      </c>
      <c r="F15" s="753">
        <v>0</v>
      </c>
      <c r="G15" s="756">
        <f t="shared" ref="G15:G23" si="4">+H15+K15+N15</f>
        <v>39739.648000000001</v>
      </c>
      <c r="H15" s="756">
        <v>39739.648000000001</v>
      </c>
      <c r="I15" s="756"/>
      <c r="J15" s="756"/>
      <c r="K15" s="753">
        <v>0</v>
      </c>
      <c r="L15" s="757"/>
      <c r="M15" s="756"/>
      <c r="N15" s="753">
        <v>0</v>
      </c>
      <c r="O15" s="757"/>
      <c r="P15" s="756"/>
      <c r="Q15" s="753">
        <v>0</v>
      </c>
      <c r="R15" s="753">
        <v>0</v>
      </c>
      <c r="S15" s="753">
        <v>0</v>
      </c>
      <c r="T15" s="725"/>
      <c r="U15" s="106">
        <v>1805936.8265879999</v>
      </c>
    </row>
    <row r="16" spans="1:23" ht="20.100000000000001" customHeight="1">
      <c r="A16" s="754" t="s">
        <v>336</v>
      </c>
      <c r="B16" s="755" t="s">
        <v>337</v>
      </c>
      <c r="C16" s="753">
        <v>0</v>
      </c>
      <c r="D16" s="753">
        <v>0</v>
      </c>
      <c r="E16" s="753">
        <v>0</v>
      </c>
      <c r="F16" s="753">
        <v>0</v>
      </c>
      <c r="G16" s="756">
        <f t="shared" si="4"/>
        <v>19715.274890000001</v>
      </c>
      <c r="H16" s="756">
        <v>19715.274890000001</v>
      </c>
      <c r="I16" s="756"/>
      <c r="J16" s="756"/>
      <c r="K16" s="753">
        <v>0</v>
      </c>
      <c r="L16" s="757"/>
      <c r="M16" s="756"/>
      <c r="N16" s="753">
        <v>0</v>
      </c>
      <c r="O16" s="757"/>
      <c r="P16" s="756"/>
      <c r="Q16" s="753">
        <v>0</v>
      </c>
      <c r="R16" s="753">
        <v>0</v>
      </c>
      <c r="S16" s="753">
        <v>0</v>
      </c>
      <c r="T16" s="725"/>
      <c r="U16" s="106">
        <f>+U15-H14</f>
        <v>619345.50803999999</v>
      </c>
    </row>
    <row r="17" spans="1:22" ht="20.100000000000001" customHeight="1">
      <c r="A17" s="754" t="s">
        <v>338</v>
      </c>
      <c r="B17" s="755" t="s">
        <v>339</v>
      </c>
      <c r="C17" s="753">
        <v>0</v>
      </c>
      <c r="D17" s="753">
        <v>0</v>
      </c>
      <c r="E17" s="753">
        <v>0</v>
      </c>
      <c r="F17" s="753">
        <v>0</v>
      </c>
      <c r="G17" s="756">
        <f t="shared" si="4"/>
        <v>197179.29119999998</v>
      </c>
      <c r="H17" s="756">
        <f>71790.316955-J17</f>
        <v>63750.909599999999</v>
      </c>
      <c r="I17" s="756"/>
      <c r="J17" s="756">
        <v>8039.4073550000003</v>
      </c>
      <c r="K17" s="757">
        <f>133803.5196-M17</f>
        <v>133428.38159999999</v>
      </c>
      <c r="L17" s="757"/>
      <c r="M17" s="756">
        <v>375.13799999999998</v>
      </c>
      <c r="N17" s="753">
        <v>0</v>
      </c>
      <c r="O17" s="757"/>
      <c r="P17" s="756"/>
      <c r="Q17" s="753">
        <v>0</v>
      </c>
      <c r="R17" s="753">
        <v>0</v>
      </c>
      <c r="S17" s="753">
        <v>0</v>
      </c>
      <c r="T17" s="725"/>
      <c r="U17" s="106"/>
    </row>
    <row r="18" spans="1:22" ht="20.100000000000001" customHeight="1">
      <c r="A18" s="754" t="s">
        <v>340</v>
      </c>
      <c r="B18" s="755" t="s">
        <v>341</v>
      </c>
      <c r="C18" s="753">
        <v>0</v>
      </c>
      <c r="D18" s="753">
        <v>0</v>
      </c>
      <c r="E18" s="753">
        <v>0</v>
      </c>
      <c r="F18" s="753">
        <v>0</v>
      </c>
      <c r="G18" s="756">
        <f t="shared" si="4"/>
        <v>754.53200000000004</v>
      </c>
      <c r="H18" s="756">
        <v>754.53200000000004</v>
      </c>
      <c r="I18" s="756"/>
      <c r="J18" s="756"/>
      <c r="K18" s="753">
        <v>0</v>
      </c>
      <c r="L18" s="757"/>
      <c r="M18" s="756"/>
      <c r="N18" s="753">
        <v>0</v>
      </c>
      <c r="O18" s="757"/>
      <c r="P18" s="756"/>
      <c r="Q18" s="753">
        <v>0</v>
      </c>
      <c r="R18" s="753">
        <v>0</v>
      </c>
      <c r="S18" s="753">
        <v>0</v>
      </c>
      <c r="T18" s="725"/>
      <c r="U18" s="106">
        <f>G12+K101+N101</f>
        <v>7900559.0041899998</v>
      </c>
    </row>
    <row r="19" spans="1:22" ht="20.100000000000001" customHeight="1">
      <c r="A19" s="754" t="s">
        <v>342</v>
      </c>
      <c r="B19" s="755" t="s">
        <v>343</v>
      </c>
      <c r="C19" s="753">
        <v>0</v>
      </c>
      <c r="D19" s="753">
        <v>0</v>
      </c>
      <c r="E19" s="753">
        <v>0</v>
      </c>
      <c r="F19" s="753">
        <v>0</v>
      </c>
      <c r="G19" s="756">
        <f t="shared" si="4"/>
        <v>225791.24131300001</v>
      </c>
      <c r="H19" s="756">
        <f>261878.307813-J19</f>
        <v>225769.16231300001</v>
      </c>
      <c r="I19" s="756"/>
      <c r="J19" s="756">
        <f>30100.5115+6008.634</f>
        <v>36109.145499999999</v>
      </c>
      <c r="K19" s="757">
        <v>22.079000000000001</v>
      </c>
      <c r="L19" s="757"/>
      <c r="M19" s="756"/>
      <c r="N19" s="753">
        <v>0</v>
      </c>
      <c r="O19" s="757"/>
      <c r="P19" s="756"/>
      <c r="Q19" s="753">
        <v>0</v>
      </c>
      <c r="R19" s="753">
        <v>0</v>
      </c>
      <c r="S19" s="753">
        <v>0</v>
      </c>
      <c r="T19" s="725"/>
      <c r="U19" s="106"/>
    </row>
    <row r="20" spans="1:22" ht="20.100000000000001" customHeight="1">
      <c r="A20" s="754" t="s">
        <v>344</v>
      </c>
      <c r="B20" s="755" t="s">
        <v>345</v>
      </c>
      <c r="C20" s="753">
        <v>0</v>
      </c>
      <c r="D20" s="753">
        <v>0</v>
      </c>
      <c r="E20" s="753">
        <v>0</v>
      </c>
      <c r="F20" s="753">
        <v>0</v>
      </c>
      <c r="G20" s="756">
        <f t="shared" si="4"/>
        <v>34157.590332</v>
      </c>
      <c r="H20" s="756">
        <v>27887.705625999999</v>
      </c>
      <c r="I20" s="756"/>
      <c r="J20" s="756"/>
      <c r="K20" s="757">
        <f>6618.941706-M20</f>
        <v>6269.8847059999998</v>
      </c>
      <c r="L20" s="757"/>
      <c r="M20" s="756">
        <f>100+249.057</f>
        <v>349.05700000000002</v>
      </c>
      <c r="N20" s="753">
        <f>22.998778-P20</f>
        <v>0</v>
      </c>
      <c r="O20" s="757"/>
      <c r="P20" s="756">
        <v>22.998778000000001</v>
      </c>
      <c r="Q20" s="753">
        <v>0</v>
      </c>
      <c r="R20" s="753">
        <v>0</v>
      </c>
      <c r="S20" s="753">
        <v>0</v>
      </c>
      <c r="T20" s="725"/>
      <c r="U20" s="106">
        <f>+P14+M14+L39+O39</f>
        <v>109104.60187699999</v>
      </c>
    </row>
    <row r="21" spans="1:22" ht="20.100000000000001" customHeight="1">
      <c r="A21" s="754" t="s">
        <v>346</v>
      </c>
      <c r="B21" s="755" t="s">
        <v>347</v>
      </c>
      <c r="C21" s="753">
        <v>0</v>
      </c>
      <c r="D21" s="753">
        <v>0</v>
      </c>
      <c r="E21" s="753">
        <v>0</v>
      </c>
      <c r="F21" s="753">
        <v>0</v>
      </c>
      <c r="G21" s="756">
        <f t="shared" si="4"/>
        <v>590.72799999999995</v>
      </c>
      <c r="H21" s="756">
        <v>590.72799999999995</v>
      </c>
      <c r="I21" s="756"/>
      <c r="J21" s="756"/>
      <c r="K21" s="753">
        <v>0</v>
      </c>
      <c r="L21" s="757"/>
      <c r="M21" s="756"/>
      <c r="N21" s="753">
        <v>0</v>
      </c>
      <c r="O21" s="757"/>
      <c r="P21" s="756"/>
      <c r="Q21" s="753">
        <v>0</v>
      </c>
      <c r="R21" s="753">
        <v>0</v>
      </c>
      <c r="S21" s="753">
        <v>0</v>
      </c>
      <c r="T21" s="725"/>
      <c r="U21" s="106">
        <v>109104.601677</v>
      </c>
    </row>
    <row r="22" spans="1:22" ht="20.100000000000001" customHeight="1">
      <c r="A22" s="754" t="s">
        <v>348</v>
      </c>
      <c r="B22" s="755" t="s">
        <v>349</v>
      </c>
      <c r="C22" s="753">
        <v>0</v>
      </c>
      <c r="D22" s="753">
        <v>0</v>
      </c>
      <c r="E22" s="753">
        <v>0</v>
      </c>
      <c r="F22" s="753">
        <v>0</v>
      </c>
      <c r="G22" s="756">
        <f t="shared" si="4"/>
        <v>1094.421</v>
      </c>
      <c r="H22" s="753">
        <v>0</v>
      </c>
      <c r="I22" s="756"/>
      <c r="J22" s="756"/>
      <c r="K22" s="757">
        <v>1094.421</v>
      </c>
      <c r="L22" s="757"/>
      <c r="M22" s="756"/>
      <c r="N22" s="753">
        <v>0</v>
      </c>
      <c r="O22" s="757"/>
      <c r="P22" s="756"/>
      <c r="Q22" s="753">
        <v>0</v>
      </c>
      <c r="R22" s="753">
        <v>0</v>
      </c>
      <c r="S22" s="753">
        <v>0</v>
      </c>
      <c r="T22" s="725"/>
      <c r="U22" s="297">
        <f>+U21-U20</f>
        <v>-1.9999999494757503E-4</v>
      </c>
    </row>
    <row r="23" spans="1:22" ht="20.100000000000001" customHeight="1">
      <c r="A23" s="754" t="s">
        <v>350</v>
      </c>
      <c r="B23" s="755" t="s">
        <v>351</v>
      </c>
      <c r="C23" s="753">
        <v>0</v>
      </c>
      <c r="D23" s="753">
        <v>0</v>
      </c>
      <c r="E23" s="753">
        <v>0</v>
      </c>
      <c r="F23" s="753">
        <v>0</v>
      </c>
      <c r="G23" s="756">
        <f t="shared" si="4"/>
        <v>1102.1440000000002</v>
      </c>
      <c r="H23" s="756">
        <f>5662.144-J23</f>
        <v>1102.1440000000002</v>
      </c>
      <c r="I23" s="756"/>
      <c r="J23" s="756">
        <f>1346+3214</f>
        <v>4560</v>
      </c>
      <c r="K23" s="753">
        <v>0</v>
      </c>
      <c r="L23" s="757"/>
      <c r="M23" s="756"/>
      <c r="N23" s="753">
        <v>0</v>
      </c>
      <c r="O23" s="757"/>
      <c r="P23" s="756"/>
      <c r="Q23" s="753">
        <v>0</v>
      </c>
      <c r="R23" s="753">
        <v>0</v>
      </c>
      <c r="S23" s="753">
        <v>0</v>
      </c>
      <c r="T23" s="725"/>
      <c r="U23" s="106">
        <v>1132.3430000000001</v>
      </c>
    </row>
    <row r="24" spans="1:22" ht="20.100000000000001" customHeight="1">
      <c r="A24" s="754" t="s">
        <v>352</v>
      </c>
      <c r="B24" s="755" t="s">
        <v>353</v>
      </c>
      <c r="C24" s="753">
        <v>0</v>
      </c>
      <c r="D24" s="753">
        <v>0</v>
      </c>
      <c r="E24" s="753">
        <v>0</v>
      </c>
      <c r="F24" s="753">
        <v>0</v>
      </c>
      <c r="G24" s="756">
        <f>+H24+K24</f>
        <v>763597.30386899994</v>
      </c>
      <c r="H24" s="756">
        <f>718959.347186-J24</f>
        <v>513250.28353599994</v>
      </c>
      <c r="I24" s="756"/>
      <c r="J24" s="756">
        <f>43311.022858+162398.040792</f>
        <v>205709.06365000003</v>
      </c>
      <c r="K24" s="757">
        <f>171618.932371-M24+N24</f>
        <v>250347.02033299999</v>
      </c>
      <c r="L24" s="757"/>
      <c r="M24" s="756">
        <f>145.528+7706.080931+600+1379.086+2032.758</f>
        <v>11863.452931</v>
      </c>
      <c r="N24" s="757">
        <f>166169.401255-P24</f>
        <v>90591.540892999998</v>
      </c>
      <c r="O24" s="757"/>
      <c r="P24" s="756">
        <f>35+16034.737779+200+1052.884+58255.238583</f>
        <v>75577.860362000007</v>
      </c>
      <c r="Q24" s="753">
        <v>0</v>
      </c>
      <c r="R24" s="753">
        <v>0</v>
      </c>
      <c r="S24" s="753">
        <v>0</v>
      </c>
      <c r="T24" s="725"/>
      <c r="U24" s="106"/>
    </row>
    <row r="25" spans="1:22" ht="20.100000000000001" customHeight="1">
      <c r="A25" s="754" t="s">
        <v>354</v>
      </c>
      <c r="B25" s="755" t="s">
        <v>355</v>
      </c>
      <c r="C25" s="753">
        <v>0</v>
      </c>
      <c r="D25" s="753">
        <v>0</v>
      </c>
      <c r="E25" s="753">
        <v>0</v>
      </c>
      <c r="F25" s="753">
        <v>0</v>
      </c>
      <c r="G25" s="756">
        <f>+H25+K25</f>
        <v>240071.66548199995</v>
      </c>
      <c r="H25" s="756">
        <f>683784.949927-J25</f>
        <v>215161.70749899995</v>
      </c>
      <c r="I25" s="756"/>
      <c r="J25" s="756">
        <f>451689.116127+16934.126301</f>
        <v>468623.24242800003</v>
      </c>
      <c r="K25" s="757">
        <f>7949.005983+N25</f>
        <v>24909.957983</v>
      </c>
      <c r="L25" s="757"/>
      <c r="M25" s="756"/>
      <c r="N25" s="757">
        <f>22231.811-P25</f>
        <v>16960.952000000001</v>
      </c>
      <c r="O25" s="757"/>
      <c r="P25" s="756">
        <v>5270.8590000000004</v>
      </c>
      <c r="Q25" s="753">
        <v>0</v>
      </c>
      <c r="R25" s="753">
        <v>0</v>
      </c>
      <c r="S25" s="753">
        <v>0</v>
      </c>
      <c r="T25" s="725"/>
      <c r="U25" s="106"/>
    </row>
    <row r="26" spans="1:22" ht="20.100000000000001" customHeight="1">
      <c r="A26" s="754" t="s">
        <v>356</v>
      </c>
      <c r="B26" s="755" t="s">
        <v>357</v>
      </c>
      <c r="C26" s="753">
        <v>0</v>
      </c>
      <c r="D26" s="753">
        <v>0</v>
      </c>
      <c r="E26" s="753">
        <v>0</v>
      </c>
      <c r="F26" s="753">
        <v>0</v>
      </c>
      <c r="G26" s="756">
        <f>+H26+K26+N26</f>
        <v>24438.359499999999</v>
      </c>
      <c r="H26" s="756">
        <v>24438.359499999999</v>
      </c>
      <c r="I26" s="756"/>
      <c r="J26" s="756"/>
      <c r="K26" s="753">
        <v>0</v>
      </c>
      <c r="L26" s="753"/>
      <c r="M26" s="753"/>
      <c r="N26" s="753">
        <v>0</v>
      </c>
      <c r="O26" s="757"/>
      <c r="P26" s="756"/>
      <c r="Q26" s="753">
        <v>0</v>
      </c>
      <c r="R26" s="753">
        <v>0</v>
      </c>
      <c r="S26" s="753">
        <v>0</v>
      </c>
      <c r="T26" s="725"/>
      <c r="U26" s="106"/>
    </row>
    <row r="27" spans="1:22" ht="20.100000000000001" customHeight="1">
      <c r="A27" s="754" t="s">
        <v>358</v>
      </c>
      <c r="B27" s="755" t="s">
        <v>359</v>
      </c>
      <c r="C27" s="753">
        <v>0</v>
      </c>
      <c r="D27" s="753">
        <v>0</v>
      </c>
      <c r="E27" s="753">
        <v>0</v>
      </c>
      <c r="F27" s="753">
        <v>0</v>
      </c>
      <c r="G27" s="756">
        <f>+H27+K27+N27</f>
        <v>54430.863583999999</v>
      </c>
      <c r="H27" s="756">
        <v>54430.863583999999</v>
      </c>
      <c r="I27" s="756"/>
      <c r="J27" s="756"/>
      <c r="K27" s="753">
        <v>0</v>
      </c>
      <c r="L27" s="753"/>
      <c r="M27" s="753"/>
      <c r="N27" s="753">
        <v>0</v>
      </c>
      <c r="O27" s="757"/>
      <c r="P27" s="756"/>
      <c r="Q27" s="753">
        <v>0</v>
      </c>
      <c r="R27" s="753">
        <v>0</v>
      </c>
      <c r="S27" s="753">
        <v>0</v>
      </c>
      <c r="T27" s="725"/>
      <c r="U27" s="106">
        <v>226130.12599999999</v>
      </c>
      <c r="V27" s="106">
        <f>+H30-U27</f>
        <v>1132.3429999999935</v>
      </c>
    </row>
    <row r="28" spans="1:22" ht="20.100000000000001" customHeight="1">
      <c r="A28" s="748">
        <v>2</v>
      </c>
      <c r="B28" s="749" t="s">
        <v>360</v>
      </c>
      <c r="C28" s="753">
        <v>0</v>
      </c>
      <c r="D28" s="753">
        <v>0</v>
      </c>
      <c r="E28" s="753">
        <v>0</v>
      </c>
      <c r="F28" s="753">
        <v>0</v>
      </c>
      <c r="G28" s="747">
        <f>H28+K28+N28</f>
        <v>32000</v>
      </c>
      <c r="H28" s="751">
        <v>32000</v>
      </c>
      <c r="I28" s="751"/>
      <c r="J28" s="751"/>
      <c r="K28" s="753">
        <v>0</v>
      </c>
      <c r="L28" s="753"/>
      <c r="M28" s="753"/>
      <c r="N28" s="753">
        <v>0</v>
      </c>
      <c r="O28" s="747"/>
      <c r="P28" s="751"/>
      <c r="Q28" s="753">
        <v>0</v>
      </c>
      <c r="R28" s="753">
        <v>0</v>
      </c>
      <c r="S28" s="753">
        <v>0</v>
      </c>
      <c r="T28" s="724"/>
      <c r="U28" s="106">
        <f>+U14-D12</f>
        <v>406242</v>
      </c>
    </row>
    <row r="29" spans="1:22" ht="20.100000000000001" customHeight="1">
      <c r="A29" s="748">
        <v>3</v>
      </c>
      <c r="B29" s="749" t="s">
        <v>361</v>
      </c>
      <c r="C29" s="753">
        <v>0</v>
      </c>
      <c r="D29" s="753">
        <v>0</v>
      </c>
      <c r="E29" s="753">
        <v>0</v>
      </c>
      <c r="F29" s="753">
        <v>0</v>
      </c>
      <c r="G29" s="753">
        <f>H29+K29+N29</f>
        <v>0</v>
      </c>
      <c r="H29" s="753">
        <v>0</v>
      </c>
      <c r="I29" s="751"/>
      <c r="J29" s="751"/>
      <c r="K29" s="753">
        <v>0</v>
      </c>
      <c r="L29" s="753"/>
      <c r="M29" s="753"/>
      <c r="N29" s="753">
        <v>0</v>
      </c>
      <c r="O29" s="747"/>
      <c r="P29" s="751"/>
      <c r="Q29" s="753">
        <v>0</v>
      </c>
      <c r="R29" s="753">
        <v>0</v>
      </c>
      <c r="S29" s="753">
        <v>0</v>
      </c>
      <c r="T29" s="724"/>
      <c r="U29" s="106">
        <f>+D12-D96</f>
        <v>7333828</v>
      </c>
    </row>
    <row r="30" spans="1:22" ht="20.100000000000001" customHeight="1">
      <c r="A30" s="748" t="s">
        <v>112</v>
      </c>
      <c r="B30" s="749" t="s">
        <v>132</v>
      </c>
      <c r="C30" s="753">
        <v>226220</v>
      </c>
      <c r="D30" s="758">
        <v>226220</v>
      </c>
      <c r="E30" s="758">
        <v>226220</v>
      </c>
      <c r="F30" s="753">
        <v>0</v>
      </c>
      <c r="G30" s="751">
        <f>H30+K30+N30</f>
        <v>227262.46899999998</v>
      </c>
      <c r="H30" s="751">
        <f>246730.874657+1132.343+3630.126-24230.874657</f>
        <v>227262.46899999998</v>
      </c>
      <c r="I30" s="751"/>
      <c r="J30" s="751"/>
      <c r="K30" s="753">
        <v>0</v>
      </c>
      <c r="L30" s="753"/>
      <c r="M30" s="753"/>
      <c r="N30" s="753">
        <v>0</v>
      </c>
      <c r="O30" s="747"/>
      <c r="P30" s="751"/>
      <c r="Q30" s="747">
        <f t="shared" si="1"/>
        <v>100.46082088232693</v>
      </c>
      <c r="R30" s="747">
        <f t="shared" si="3"/>
        <v>100.46082088232693</v>
      </c>
      <c r="S30" s="753">
        <v>0</v>
      </c>
      <c r="T30" s="724"/>
      <c r="U30" s="106">
        <f>+U29+D30+D96</f>
        <v>7560048</v>
      </c>
    </row>
    <row r="31" spans="1:22" ht="18" hidden="1" customHeight="1">
      <c r="A31" s="748"/>
      <c r="B31" s="749"/>
      <c r="C31" s="753"/>
      <c r="D31" s="759"/>
      <c r="E31" s="759"/>
      <c r="F31" s="759"/>
      <c r="G31" s="751"/>
      <c r="H31" s="751"/>
      <c r="I31" s="751"/>
      <c r="J31" s="751"/>
      <c r="K31" s="747"/>
      <c r="L31" s="747"/>
      <c r="M31" s="751"/>
      <c r="N31" s="747"/>
      <c r="O31" s="747"/>
      <c r="P31" s="751"/>
      <c r="Q31" s="747" t="e">
        <f t="shared" si="1"/>
        <v>#DIV/0!</v>
      </c>
      <c r="R31" s="747" t="e">
        <f t="shared" si="3"/>
        <v>#DIV/0!</v>
      </c>
      <c r="S31" s="747" t="e">
        <f t="shared" ref="S31:S77" si="5">K31/F31*100</f>
        <v>#DIV/0!</v>
      </c>
      <c r="T31" s="724"/>
      <c r="U31" s="106"/>
    </row>
    <row r="32" spans="1:22" ht="18" hidden="1" customHeight="1">
      <c r="A32" s="748"/>
      <c r="B32" s="749"/>
      <c r="C32" s="753"/>
      <c r="D32" s="759"/>
      <c r="E32" s="759"/>
      <c r="F32" s="759"/>
      <c r="G32" s="751"/>
      <c r="H32" s="751"/>
      <c r="I32" s="751"/>
      <c r="J32" s="751"/>
      <c r="K32" s="747"/>
      <c r="L32" s="747"/>
      <c r="M32" s="751"/>
      <c r="N32" s="747"/>
      <c r="O32" s="747"/>
      <c r="P32" s="751"/>
      <c r="Q32" s="747" t="e">
        <f t="shared" si="1"/>
        <v>#DIV/0!</v>
      </c>
      <c r="R32" s="747" t="e">
        <f t="shared" si="3"/>
        <v>#DIV/0!</v>
      </c>
      <c r="S32" s="747" t="e">
        <f t="shared" si="5"/>
        <v>#DIV/0!</v>
      </c>
      <c r="T32" s="724"/>
      <c r="U32" s="106"/>
    </row>
    <row r="33" spans="1:23" ht="15" hidden="1" customHeight="1">
      <c r="A33" s="754"/>
      <c r="B33" s="760" t="s">
        <v>362</v>
      </c>
      <c r="C33" s="753"/>
      <c r="D33" s="761"/>
      <c r="E33" s="761"/>
      <c r="F33" s="761"/>
      <c r="G33" s="741">
        <f>H33+K33+N33</f>
        <v>0</v>
      </c>
      <c r="H33" s="762"/>
      <c r="I33" s="762"/>
      <c r="J33" s="762"/>
      <c r="K33" s="741"/>
      <c r="L33" s="741">
        <f>L35</f>
        <v>0</v>
      </c>
      <c r="M33" s="762"/>
      <c r="N33" s="741"/>
      <c r="O33" s="741"/>
      <c r="P33" s="762"/>
      <c r="Q33" s="747" t="e">
        <f t="shared" si="1"/>
        <v>#DIV/0!</v>
      </c>
      <c r="R33" s="747" t="e">
        <f t="shared" si="3"/>
        <v>#DIV/0!</v>
      </c>
      <c r="S33" s="747" t="e">
        <f t="shared" si="5"/>
        <v>#DIV/0!</v>
      </c>
      <c r="T33" s="726"/>
      <c r="U33" s="106"/>
      <c r="V33" s="105" t="s">
        <v>363</v>
      </c>
      <c r="W33" s="106"/>
    </row>
    <row r="34" spans="1:23" ht="15" hidden="1" customHeight="1">
      <c r="A34" s="754"/>
      <c r="B34" s="760" t="s">
        <v>364</v>
      </c>
      <c r="C34" s="753"/>
      <c r="D34" s="761"/>
      <c r="E34" s="761"/>
      <c r="F34" s="761"/>
      <c r="G34" s="741">
        <f>H34+K34+N34</f>
        <v>0</v>
      </c>
      <c r="H34" s="762"/>
      <c r="I34" s="762"/>
      <c r="J34" s="762"/>
      <c r="K34" s="741"/>
      <c r="L34" s="741"/>
      <c r="M34" s="762"/>
      <c r="N34" s="741"/>
      <c r="O34" s="741"/>
      <c r="P34" s="762"/>
      <c r="Q34" s="747" t="e">
        <f t="shared" si="1"/>
        <v>#DIV/0!</v>
      </c>
      <c r="R34" s="747" t="e">
        <f t="shared" si="3"/>
        <v>#DIV/0!</v>
      </c>
      <c r="S34" s="747" t="e">
        <f t="shared" si="5"/>
        <v>#DIV/0!</v>
      </c>
      <c r="T34" s="726"/>
      <c r="U34" s="106"/>
      <c r="W34" s="106"/>
    </row>
    <row r="35" spans="1:23" s="116" customFormat="1" ht="15" hidden="1" customHeight="1">
      <c r="A35" s="754">
        <v>1</v>
      </c>
      <c r="B35" s="755" t="s">
        <v>365</v>
      </c>
      <c r="C35" s="753"/>
      <c r="D35" s="763"/>
      <c r="E35" s="763"/>
      <c r="F35" s="763"/>
      <c r="G35" s="757">
        <f>H35+K35+N35</f>
        <v>0</v>
      </c>
      <c r="H35" s="756"/>
      <c r="I35" s="756"/>
      <c r="J35" s="756"/>
      <c r="K35" s="757"/>
      <c r="L35" s="757"/>
      <c r="M35" s="756"/>
      <c r="N35" s="757"/>
      <c r="O35" s="757"/>
      <c r="P35" s="756"/>
      <c r="Q35" s="747" t="e">
        <f t="shared" si="1"/>
        <v>#DIV/0!</v>
      </c>
      <c r="R35" s="747" t="e">
        <f t="shared" si="3"/>
        <v>#DIV/0!</v>
      </c>
      <c r="S35" s="747" t="e">
        <f t="shared" si="5"/>
        <v>#DIV/0!</v>
      </c>
      <c r="T35" s="725" t="e">
        <f>+G35/"#REF!*100"</f>
        <v>#VALUE!</v>
      </c>
      <c r="U35" s="290"/>
    </row>
    <row r="36" spans="1:23" s="293" customFormat="1" ht="15" hidden="1" customHeight="1">
      <c r="A36" s="764"/>
      <c r="B36" s="760" t="s">
        <v>366</v>
      </c>
      <c r="C36" s="753"/>
      <c r="D36" s="761"/>
      <c r="E36" s="761"/>
      <c r="F36" s="761"/>
      <c r="G36" s="741">
        <f>H36+K36+N36</f>
        <v>0</v>
      </c>
      <c r="H36" s="762"/>
      <c r="I36" s="762"/>
      <c r="J36" s="762"/>
      <c r="K36" s="741"/>
      <c r="L36" s="741"/>
      <c r="M36" s="762"/>
      <c r="N36" s="741"/>
      <c r="O36" s="741"/>
      <c r="P36" s="762"/>
      <c r="Q36" s="747" t="e">
        <f t="shared" si="1"/>
        <v>#DIV/0!</v>
      </c>
      <c r="R36" s="747" t="e">
        <f t="shared" si="3"/>
        <v>#DIV/0!</v>
      </c>
      <c r="S36" s="747" t="e">
        <f t="shared" si="5"/>
        <v>#DIV/0!</v>
      </c>
      <c r="T36" s="726"/>
      <c r="U36" s="292"/>
      <c r="W36" s="294"/>
    </row>
    <row r="37" spans="1:23" s="293" customFormat="1" ht="15" hidden="1" customHeight="1">
      <c r="A37" s="764">
        <v>2</v>
      </c>
      <c r="B37" s="755" t="s">
        <v>367</v>
      </c>
      <c r="C37" s="753"/>
      <c r="D37" s="761"/>
      <c r="E37" s="761"/>
      <c r="F37" s="761"/>
      <c r="G37" s="741">
        <f>+H37</f>
        <v>0</v>
      </c>
      <c r="H37" s="762"/>
      <c r="I37" s="762"/>
      <c r="J37" s="762"/>
      <c r="K37" s="741"/>
      <c r="L37" s="741"/>
      <c r="M37" s="762"/>
      <c r="N37" s="741"/>
      <c r="O37" s="741"/>
      <c r="P37" s="762"/>
      <c r="Q37" s="747" t="e">
        <f t="shared" si="1"/>
        <v>#DIV/0!</v>
      </c>
      <c r="R37" s="747" t="e">
        <f t="shared" si="3"/>
        <v>#DIV/0!</v>
      </c>
      <c r="S37" s="747" t="e">
        <f t="shared" si="5"/>
        <v>#DIV/0!</v>
      </c>
      <c r="T37" s="726"/>
      <c r="U37" s="292"/>
      <c r="W37" s="294"/>
    </row>
    <row r="38" spans="1:23" ht="15" hidden="1" customHeight="1">
      <c r="A38" s="754">
        <v>3</v>
      </c>
      <c r="B38" s="755" t="s">
        <v>368</v>
      </c>
      <c r="C38" s="753"/>
      <c r="D38" s="765"/>
      <c r="E38" s="765"/>
      <c r="F38" s="765"/>
      <c r="G38" s="757">
        <f>+H38+K38+N38</f>
        <v>0</v>
      </c>
      <c r="H38" s="756"/>
      <c r="I38" s="756"/>
      <c r="J38" s="756"/>
      <c r="K38" s="757"/>
      <c r="L38" s="757"/>
      <c r="M38" s="756"/>
      <c r="N38" s="757"/>
      <c r="O38" s="757"/>
      <c r="P38" s="756"/>
      <c r="Q38" s="747" t="e">
        <f t="shared" si="1"/>
        <v>#DIV/0!</v>
      </c>
      <c r="R38" s="747" t="e">
        <f t="shared" si="3"/>
        <v>#DIV/0!</v>
      </c>
      <c r="S38" s="747" t="e">
        <f t="shared" si="5"/>
        <v>#DIV/0!</v>
      </c>
      <c r="T38" s="725"/>
      <c r="W38" s="106"/>
    </row>
    <row r="39" spans="1:23" ht="20.100000000000001" customHeight="1">
      <c r="A39" s="748" t="s">
        <v>130</v>
      </c>
      <c r="B39" s="749" t="s">
        <v>62</v>
      </c>
      <c r="C39" s="753">
        <v>5499118</v>
      </c>
      <c r="D39" s="766">
        <f>+D40+D41+D42+D43+D44+D45+D46+D47+D48+D49+D50+D51+D52-1</f>
        <v>5505918</v>
      </c>
      <c r="E39" s="766">
        <f>+E40+E41+E42+E43+E44+E45+E46+E47+E48+E49+E50+E51+E52-1</f>
        <v>2517064</v>
      </c>
      <c r="F39" s="766">
        <f>+F40+F41+F42+F43+F44+F45+F46+F47+F48+F49+F50+F51+F52</f>
        <v>2988854</v>
      </c>
      <c r="G39" s="747">
        <f>+H39+K39</f>
        <v>5826674.0866429992</v>
      </c>
      <c r="H39" s="751">
        <f t="shared" ref="H39:P39" si="6">+H40+H41+H42+H43+H44+H45+H46+H47+H48+H49+H50+H51+H52</f>
        <v>2149702.5019509997</v>
      </c>
      <c r="I39" s="751">
        <f t="shared" si="6"/>
        <v>12289.712348999999</v>
      </c>
      <c r="J39" s="751">
        <f t="shared" si="6"/>
        <v>0</v>
      </c>
      <c r="K39" s="751">
        <f t="shared" si="6"/>
        <v>3676971.5846919999</v>
      </c>
      <c r="L39" s="751">
        <f t="shared" si="6"/>
        <v>6184.9528</v>
      </c>
      <c r="M39" s="751">
        <f t="shared" si="6"/>
        <v>0</v>
      </c>
      <c r="N39" s="751">
        <f t="shared" si="6"/>
        <v>736838.41308699991</v>
      </c>
      <c r="O39" s="751">
        <f t="shared" si="6"/>
        <v>9460.2830059999997</v>
      </c>
      <c r="P39" s="751">
        <f t="shared" si="6"/>
        <v>0</v>
      </c>
      <c r="Q39" s="747">
        <f t="shared" si="1"/>
        <v>105.82566043742385</v>
      </c>
      <c r="R39" s="747">
        <f t="shared" si="3"/>
        <v>85.405158627313398</v>
      </c>
      <c r="S39" s="747">
        <f t="shared" si="5"/>
        <v>123.02279016278479</v>
      </c>
      <c r="T39" s="725" t="e">
        <f>+G39/"#REF!*100"</f>
        <v>#VALUE!</v>
      </c>
      <c r="U39" s="106">
        <f>+L39+O39</f>
        <v>15645.235806000001</v>
      </c>
      <c r="W39" s="106"/>
    </row>
    <row r="40" spans="1:23" ht="20.100000000000001" customHeight="1">
      <c r="A40" s="754">
        <v>1</v>
      </c>
      <c r="B40" s="755" t="s">
        <v>335</v>
      </c>
      <c r="C40" s="753">
        <v>0</v>
      </c>
      <c r="D40" s="767">
        <v>109888</v>
      </c>
      <c r="E40" s="767">
        <v>36327</v>
      </c>
      <c r="F40" s="767">
        <v>73561</v>
      </c>
      <c r="G40" s="757">
        <f t="shared" ref="G40:G52" si="7">H40+K40</f>
        <v>139901.12236500002</v>
      </c>
      <c r="H40" s="756">
        <v>45230.463499999998</v>
      </c>
      <c r="I40" s="756"/>
      <c r="J40" s="756"/>
      <c r="K40" s="756">
        <f>40984.3563+N40</f>
        <v>94670.658865000005</v>
      </c>
      <c r="L40" s="757"/>
      <c r="M40" s="756"/>
      <c r="N40" s="756">
        <v>53686.302564999998</v>
      </c>
      <c r="O40" s="757"/>
      <c r="P40" s="756"/>
      <c r="Q40" s="757">
        <f t="shared" si="1"/>
        <v>127.31246575149244</v>
      </c>
      <c r="R40" s="757">
        <f t="shared" si="3"/>
        <v>124.50921766179425</v>
      </c>
      <c r="S40" s="757">
        <f t="shared" si="5"/>
        <v>128.69680790772284</v>
      </c>
      <c r="T40" s="725"/>
      <c r="U40" s="129"/>
      <c r="W40" s="106"/>
    </row>
    <row r="41" spans="1:23" ht="20.100000000000001" customHeight="1">
      <c r="A41" s="754">
        <v>2</v>
      </c>
      <c r="B41" s="755" t="s">
        <v>337</v>
      </c>
      <c r="C41" s="753">
        <v>0</v>
      </c>
      <c r="D41" s="767">
        <v>37211</v>
      </c>
      <c r="E41" s="767">
        <v>15641</v>
      </c>
      <c r="F41" s="767">
        <v>21570</v>
      </c>
      <c r="G41" s="757">
        <f t="shared" si="7"/>
        <v>47492.136631000001</v>
      </c>
      <c r="H41" s="756">
        <v>14632.672278</v>
      </c>
      <c r="I41" s="756"/>
      <c r="J41" s="756"/>
      <c r="K41" s="756">
        <f>12503.8924+N41</f>
        <v>32859.464353000003</v>
      </c>
      <c r="L41" s="757"/>
      <c r="M41" s="756"/>
      <c r="N41" s="756">
        <v>20355.571952999999</v>
      </c>
      <c r="O41" s="757"/>
      <c r="P41" s="756"/>
      <c r="Q41" s="757">
        <f t="shared" si="1"/>
        <v>127.62929410926877</v>
      </c>
      <c r="R41" s="757">
        <f t="shared" si="3"/>
        <v>93.553303995908195</v>
      </c>
      <c r="S41" s="757">
        <f t="shared" si="5"/>
        <v>152.33873135373207</v>
      </c>
      <c r="T41" s="725"/>
      <c r="U41" s="129">
        <f>+D12-D30+D96</f>
        <v>7107608</v>
      </c>
      <c r="W41" s="106"/>
    </row>
    <row r="42" spans="1:23" ht="20.100000000000001" customHeight="1">
      <c r="A42" s="754">
        <v>3</v>
      </c>
      <c r="B42" s="755" t="s">
        <v>339</v>
      </c>
      <c r="C42" s="753">
        <v>1955995</v>
      </c>
      <c r="D42" s="767">
        <v>2043669</v>
      </c>
      <c r="E42" s="767">
        <v>348295</v>
      </c>
      <c r="F42" s="767">
        <v>1695374</v>
      </c>
      <c r="G42" s="757">
        <f t="shared" si="7"/>
        <v>2084208.9082770001</v>
      </c>
      <c r="H42" s="756">
        <f>364904.996735-I42</f>
        <v>362357.91205499996</v>
      </c>
      <c r="I42" s="756">
        <f>14.4+5.179+154.8+1575.05898+797.6467</f>
        <v>2547.0846799999999</v>
      </c>
      <c r="J42" s="756"/>
      <c r="K42" s="756">
        <f>1719726.001324-L42+N42</f>
        <v>1721850.9962220001</v>
      </c>
      <c r="L42" s="757">
        <f>152.987+100.3915+16.636+3563.1923</f>
        <v>3833.2067999999999</v>
      </c>
      <c r="M42" s="756"/>
      <c r="N42" s="756">
        <v>5958.2016979999999</v>
      </c>
      <c r="O42" s="757"/>
      <c r="P42" s="756"/>
      <c r="Q42" s="757">
        <f t="shared" si="1"/>
        <v>101.98368269406642</v>
      </c>
      <c r="R42" s="757">
        <f t="shared" si="3"/>
        <v>104.03764396703943</v>
      </c>
      <c r="S42" s="757">
        <f t="shared" si="5"/>
        <v>101.56172008194062</v>
      </c>
      <c r="T42" s="725"/>
      <c r="W42" s="106"/>
    </row>
    <row r="43" spans="1:23" ht="20.100000000000001" customHeight="1">
      <c r="A43" s="754">
        <v>4</v>
      </c>
      <c r="B43" s="755" t="s">
        <v>341</v>
      </c>
      <c r="C43" s="753">
        <v>24350</v>
      </c>
      <c r="D43" s="767">
        <v>24350</v>
      </c>
      <c r="E43" s="767">
        <v>18386</v>
      </c>
      <c r="F43" s="767">
        <v>5964</v>
      </c>
      <c r="G43" s="757">
        <f t="shared" si="7"/>
        <v>27892.280896</v>
      </c>
      <c r="H43" s="756">
        <v>22954.017722000001</v>
      </c>
      <c r="I43" s="756"/>
      <c r="J43" s="756"/>
      <c r="K43" s="756">
        <f>4927.803174+N43</f>
        <v>4938.2631739999997</v>
      </c>
      <c r="L43" s="757"/>
      <c r="M43" s="756"/>
      <c r="N43" s="756">
        <v>10.46</v>
      </c>
      <c r="O43" s="757"/>
      <c r="P43" s="756"/>
      <c r="Q43" s="757">
        <f t="shared" si="1"/>
        <v>114.54735480903491</v>
      </c>
      <c r="R43" s="757">
        <f t="shared" si="3"/>
        <v>124.84508714239095</v>
      </c>
      <c r="S43" s="757">
        <f t="shared" si="5"/>
        <v>82.801193393695499</v>
      </c>
      <c r="T43" s="725"/>
      <c r="U43" s="129"/>
      <c r="W43" s="106"/>
    </row>
    <row r="44" spans="1:23" ht="20.100000000000001" customHeight="1">
      <c r="A44" s="754">
        <v>5</v>
      </c>
      <c r="B44" s="755" t="s">
        <v>343</v>
      </c>
      <c r="C44" s="753">
        <v>0</v>
      </c>
      <c r="D44" s="767">
        <v>659397</v>
      </c>
      <c r="E44" s="767">
        <v>495070</v>
      </c>
      <c r="F44" s="767">
        <v>164327</v>
      </c>
      <c r="G44" s="757">
        <f t="shared" si="7"/>
        <v>696479.74568399996</v>
      </c>
      <c r="H44" s="756">
        <f>523755.313896-I44</f>
        <v>523712.07057899999</v>
      </c>
      <c r="I44" s="756">
        <v>43.243316999999998</v>
      </c>
      <c r="J44" s="756"/>
      <c r="K44" s="756">
        <f>172386.158105-L44+N44</f>
        <v>172767.67510500003</v>
      </c>
      <c r="L44" s="757">
        <f>0.605+2.514+32.292</f>
        <v>35.411000000000001</v>
      </c>
      <c r="M44" s="756"/>
      <c r="N44" s="756">
        <v>416.928</v>
      </c>
      <c r="O44" s="757"/>
      <c r="P44" s="756"/>
      <c r="Q44" s="757">
        <f t="shared" si="1"/>
        <v>105.623735880509</v>
      </c>
      <c r="R44" s="757">
        <f t="shared" si="3"/>
        <v>105.78545873896621</v>
      </c>
      <c r="S44" s="757">
        <f t="shared" si="5"/>
        <v>105.13651141017608</v>
      </c>
      <c r="T44" s="725"/>
      <c r="W44" s="106"/>
    </row>
    <row r="45" spans="1:23" ht="20.100000000000001" customHeight="1">
      <c r="A45" s="754">
        <v>6</v>
      </c>
      <c r="B45" s="755" t="s">
        <v>345</v>
      </c>
      <c r="C45" s="753">
        <v>0</v>
      </c>
      <c r="D45" s="767">
        <v>49603</v>
      </c>
      <c r="E45" s="767">
        <v>28890</v>
      </c>
      <c r="F45" s="767">
        <v>20713</v>
      </c>
      <c r="G45" s="757">
        <f t="shared" si="7"/>
        <v>73190.323567000014</v>
      </c>
      <c r="H45" s="756">
        <f>45551.609708-I45</f>
        <v>45391.524708000004</v>
      </c>
      <c r="I45" s="756">
        <f>10.435+149.65</f>
        <v>160.08500000000001</v>
      </c>
      <c r="J45" s="756"/>
      <c r="K45" s="756">
        <f>20556.220491+N45</f>
        <v>27798.798859000002</v>
      </c>
      <c r="L45" s="757"/>
      <c r="M45" s="756"/>
      <c r="N45" s="756">
        <v>7242.5783680000004</v>
      </c>
      <c r="O45" s="757"/>
      <c r="P45" s="756"/>
      <c r="Q45" s="757">
        <f t="shared" si="1"/>
        <v>147.55221169485719</v>
      </c>
      <c r="R45" s="757">
        <f t="shared" si="3"/>
        <v>157.11846558670823</v>
      </c>
      <c r="S45" s="757">
        <f t="shared" si="5"/>
        <v>134.20942818036983</v>
      </c>
      <c r="T45" s="725"/>
      <c r="W45" s="106"/>
    </row>
    <row r="46" spans="1:23" ht="20.100000000000001" customHeight="1">
      <c r="A46" s="754">
        <v>7</v>
      </c>
      <c r="B46" s="755" t="s">
        <v>347</v>
      </c>
      <c r="C46" s="753">
        <v>0</v>
      </c>
      <c r="D46" s="767">
        <v>19806</v>
      </c>
      <c r="E46" s="767">
        <v>7000</v>
      </c>
      <c r="F46" s="767">
        <v>12806</v>
      </c>
      <c r="G46" s="757">
        <f t="shared" si="7"/>
        <v>21312.679033</v>
      </c>
      <c r="H46" s="756">
        <f>9877.51363-I46</f>
        <v>9719.9785999999986</v>
      </c>
      <c r="I46" s="756">
        <v>157.53503000000001</v>
      </c>
      <c r="J46" s="756"/>
      <c r="K46" s="756">
        <f>10105.247084+N46</f>
        <v>11592.700433</v>
      </c>
      <c r="L46" s="757"/>
      <c r="M46" s="756"/>
      <c r="N46" s="756">
        <v>1487.4533489999999</v>
      </c>
      <c r="O46" s="757"/>
      <c r="P46" s="756"/>
      <c r="Q46" s="757">
        <f t="shared" si="1"/>
        <v>107.60718485812379</v>
      </c>
      <c r="R46" s="757">
        <f t="shared" si="3"/>
        <v>138.85683714285713</v>
      </c>
      <c r="S46" s="757">
        <f t="shared" si="5"/>
        <v>90.525538286740598</v>
      </c>
      <c r="T46" s="725"/>
      <c r="W46" s="106"/>
    </row>
    <row r="47" spans="1:23" ht="20.100000000000001" customHeight="1">
      <c r="A47" s="754">
        <v>8</v>
      </c>
      <c r="B47" s="755" t="s">
        <v>349</v>
      </c>
      <c r="C47" s="753">
        <v>0</v>
      </c>
      <c r="D47" s="767">
        <v>23650</v>
      </c>
      <c r="E47" s="767">
        <v>13227</v>
      </c>
      <c r="F47" s="767">
        <v>10423</v>
      </c>
      <c r="G47" s="757">
        <f t="shared" si="7"/>
        <v>22099.841077999998</v>
      </c>
      <c r="H47" s="756">
        <f>12543.09383-I47</f>
        <v>12393.09383</v>
      </c>
      <c r="I47" s="756">
        <v>150</v>
      </c>
      <c r="J47" s="756"/>
      <c r="K47" s="756">
        <f>6445.460148+N47</f>
        <v>9706.7472479999997</v>
      </c>
      <c r="L47" s="757"/>
      <c r="M47" s="756"/>
      <c r="N47" s="756">
        <v>3261.2871</v>
      </c>
      <c r="O47" s="757"/>
      <c r="P47" s="756"/>
      <c r="Q47" s="757">
        <f t="shared" si="1"/>
        <v>93.445416820295975</v>
      </c>
      <c r="R47" s="757">
        <f t="shared" si="3"/>
        <v>93.695424737279808</v>
      </c>
      <c r="S47" s="757">
        <f t="shared" si="5"/>
        <v>93.128151664587932</v>
      </c>
      <c r="T47" s="725"/>
      <c r="W47" s="106"/>
    </row>
    <row r="48" spans="1:23" ht="20.100000000000001" customHeight="1">
      <c r="A48" s="754">
        <v>9</v>
      </c>
      <c r="B48" s="755" t="s">
        <v>351</v>
      </c>
      <c r="C48" s="768">
        <v>65780</v>
      </c>
      <c r="D48" s="767">
        <v>79995</v>
      </c>
      <c r="E48" s="767">
        <v>34826</v>
      </c>
      <c r="F48" s="767">
        <v>45169</v>
      </c>
      <c r="G48" s="757">
        <f t="shared" si="7"/>
        <v>75088.071056999994</v>
      </c>
      <c r="H48" s="756">
        <v>29252.784916000001</v>
      </c>
      <c r="I48" s="756"/>
      <c r="J48" s="756"/>
      <c r="K48" s="756">
        <f>40228.215438+N48</f>
        <v>45835.286140999997</v>
      </c>
      <c r="L48" s="757"/>
      <c r="M48" s="756"/>
      <c r="N48" s="756">
        <v>5607.0707030000003</v>
      </c>
      <c r="O48" s="757"/>
      <c r="P48" s="756"/>
      <c r="Q48" s="757">
        <f t="shared" si="1"/>
        <v>93.865955443465211</v>
      </c>
      <c r="R48" s="757">
        <f t="shared" si="3"/>
        <v>83.996970412909903</v>
      </c>
      <c r="S48" s="757">
        <f t="shared" si="5"/>
        <v>101.47509606367197</v>
      </c>
      <c r="T48" s="725"/>
      <c r="W48" s="106"/>
    </row>
    <row r="49" spans="1:23" ht="20.100000000000001" customHeight="1">
      <c r="A49" s="754">
        <v>10</v>
      </c>
      <c r="B49" s="755" t="s">
        <v>353</v>
      </c>
      <c r="C49" s="753">
        <v>0</v>
      </c>
      <c r="D49" s="767">
        <v>1067598</v>
      </c>
      <c r="E49" s="767">
        <v>834406</v>
      </c>
      <c r="F49" s="767">
        <v>233192</v>
      </c>
      <c r="G49" s="757">
        <f t="shared" si="7"/>
        <v>981428.31561100006</v>
      </c>
      <c r="H49" s="756">
        <f>570587.549538-I49</f>
        <v>563124.19896800001</v>
      </c>
      <c r="I49" s="756">
        <f>7383.35057+80</f>
        <v>7463.3505699999996</v>
      </c>
      <c r="J49" s="756"/>
      <c r="K49" s="756">
        <f>333820.630023-L49+N49</f>
        <v>418304.11664300004</v>
      </c>
      <c r="L49" s="757">
        <f>1249.22+12.624+110</f>
        <v>1371.8440000000001</v>
      </c>
      <c r="M49" s="756"/>
      <c r="N49" s="756">
        <f>91008.380926-O49</f>
        <v>85855.330619999993</v>
      </c>
      <c r="O49" s="757">
        <f>1229.102+2455.072+365.4+25.2+31.6+1046.676306</f>
        <v>5153.0503060000001</v>
      </c>
      <c r="P49" s="756"/>
      <c r="Q49" s="757">
        <f t="shared" si="1"/>
        <v>91.928639395259268</v>
      </c>
      <c r="R49" s="757">
        <f t="shared" si="3"/>
        <v>67.488033279722345</v>
      </c>
      <c r="S49" s="757">
        <f t="shared" si="5"/>
        <v>179.3818469943223</v>
      </c>
      <c r="T49" s="725"/>
      <c r="U49" s="115"/>
      <c r="W49" s="106"/>
    </row>
    <row r="50" spans="1:23" ht="20.100000000000001" customHeight="1">
      <c r="A50" s="754">
        <v>11</v>
      </c>
      <c r="B50" s="755" t="s">
        <v>355</v>
      </c>
      <c r="C50" s="753">
        <v>0</v>
      </c>
      <c r="D50" s="767">
        <v>1104382</v>
      </c>
      <c r="E50" s="767">
        <v>447866</v>
      </c>
      <c r="F50" s="767">
        <v>656516</v>
      </c>
      <c r="G50" s="757">
        <f t="shared" si="7"/>
        <v>1233558.0818599998</v>
      </c>
      <c r="H50" s="756">
        <f>444879.882124-I50</f>
        <v>443111.46837199997</v>
      </c>
      <c r="I50" s="756">
        <f>1492.415752+80+195.998</f>
        <v>1768.4137520000002</v>
      </c>
      <c r="J50" s="756"/>
      <c r="K50" s="756">
        <f>259040.621315-L50+N50</f>
        <v>790446.61348799989</v>
      </c>
      <c r="L50" s="757">
        <v>874.49099999999999</v>
      </c>
      <c r="M50" s="756"/>
      <c r="N50" s="756">
        <f>535486.310873-O50</f>
        <v>532280.48317299993</v>
      </c>
      <c r="O50" s="757">
        <f>1865.9272+1339.9005</f>
        <v>3205.8276999999998</v>
      </c>
      <c r="P50" s="756"/>
      <c r="Q50" s="757">
        <f t="shared" si="1"/>
        <v>111.69668483006785</v>
      </c>
      <c r="R50" s="757">
        <f t="shared" si="3"/>
        <v>98.938403087530631</v>
      </c>
      <c r="S50" s="757">
        <f t="shared" si="5"/>
        <v>120.40020555294919</v>
      </c>
      <c r="T50" s="725"/>
      <c r="U50" s="115"/>
      <c r="W50" s="106"/>
    </row>
    <row r="51" spans="1:23" ht="20.100000000000001" customHeight="1">
      <c r="A51" s="754">
        <v>12</v>
      </c>
      <c r="B51" s="755" t="s">
        <v>357</v>
      </c>
      <c r="C51" s="753">
        <v>0</v>
      </c>
      <c r="D51" s="767">
        <v>231185</v>
      </c>
      <c r="E51" s="767">
        <v>211064</v>
      </c>
      <c r="F51" s="767">
        <v>20121</v>
      </c>
      <c r="G51" s="757">
        <f t="shared" si="7"/>
        <v>358868.13499399996</v>
      </c>
      <c r="H51" s="756">
        <v>45776.358121999998</v>
      </c>
      <c r="I51" s="756"/>
      <c r="J51" s="756"/>
      <c r="K51" s="756">
        <f>295100.326547+N51</f>
        <v>313091.77687199996</v>
      </c>
      <c r="L51" s="757"/>
      <c r="M51" s="756"/>
      <c r="N51" s="756">
        <f>19092.855325-O51</f>
        <v>17991.450325000002</v>
      </c>
      <c r="O51" s="757">
        <v>1101.405</v>
      </c>
      <c r="P51" s="756"/>
      <c r="Q51" s="757">
        <f t="shared" si="1"/>
        <v>155.22985271276249</v>
      </c>
      <c r="R51" s="757">
        <f t="shared" si="3"/>
        <v>21.688377990562103</v>
      </c>
      <c r="S51" s="757">
        <f t="shared" si="5"/>
        <v>1556.0448132398983</v>
      </c>
      <c r="T51" s="725"/>
      <c r="U51" s="200">
        <f>287180.488582+37667.779756+65018+488732</f>
        <v>878598.26833800005</v>
      </c>
      <c r="W51" s="106"/>
    </row>
    <row r="52" spans="1:23" ht="20.100000000000001" customHeight="1">
      <c r="A52" s="754">
        <v>13</v>
      </c>
      <c r="B52" s="755" t="s">
        <v>369</v>
      </c>
      <c r="C52" s="753">
        <v>0</v>
      </c>
      <c r="D52" s="767">
        <v>55185</v>
      </c>
      <c r="E52" s="767">
        <v>26067</v>
      </c>
      <c r="F52" s="767">
        <v>29118</v>
      </c>
      <c r="G52" s="757">
        <f t="shared" si="7"/>
        <v>65154.445589999901</v>
      </c>
      <c r="H52" s="756">
        <v>32045.958300999999</v>
      </c>
      <c r="I52" s="756"/>
      <c r="J52" s="756"/>
      <c r="K52" s="756">
        <f>30493.1920559999-L52+N52</f>
        <v>33108.487288999902</v>
      </c>
      <c r="L52" s="757">
        <v>70</v>
      </c>
      <c r="M52" s="756"/>
      <c r="N52" s="756">
        <v>2685.2952329999998</v>
      </c>
      <c r="O52" s="757"/>
      <c r="P52" s="756"/>
      <c r="Q52" s="757">
        <f t="shared" si="1"/>
        <v>118.06549893992914</v>
      </c>
      <c r="R52" s="757">
        <f t="shared" si="3"/>
        <v>122.93688687229063</v>
      </c>
      <c r="S52" s="757">
        <f t="shared" si="5"/>
        <v>113.70453770519919</v>
      </c>
      <c r="T52" s="725"/>
      <c r="W52" s="106"/>
    </row>
    <row r="53" spans="1:23" ht="17.25" hidden="1" customHeight="1">
      <c r="A53" s="748"/>
      <c r="B53" s="749"/>
      <c r="C53" s="752"/>
      <c r="D53" s="766"/>
      <c r="E53" s="766"/>
      <c r="F53" s="766"/>
      <c r="G53" s="747"/>
      <c r="H53" s="751"/>
      <c r="I53" s="751"/>
      <c r="J53" s="751"/>
      <c r="K53" s="751"/>
      <c r="L53" s="747"/>
      <c r="M53" s="751"/>
      <c r="N53" s="751"/>
      <c r="O53" s="747"/>
      <c r="P53" s="751"/>
      <c r="Q53" s="747" t="e">
        <f t="shared" si="1"/>
        <v>#DIV/0!</v>
      </c>
      <c r="R53" s="747" t="e">
        <f t="shared" si="3"/>
        <v>#DIV/0!</v>
      </c>
      <c r="S53" s="747" t="e">
        <f t="shared" si="5"/>
        <v>#DIV/0!</v>
      </c>
      <c r="T53" s="725"/>
      <c r="W53" s="106"/>
    </row>
    <row r="54" spans="1:23" ht="17.25" hidden="1" customHeight="1">
      <c r="A54" s="748"/>
      <c r="B54" s="749"/>
      <c r="C54" s="752"/>
      <c r="D54" s="766"/>
      <c r="E54" s="766"/>
      <c r="F54" s="766"/>
      <c r="G54" s="747"/>
      <c r="H54" s="751"/>
      <c r="I54" s="751"/>
      <c r="J54" s="751"/>
      <c r="K54" s="751"/>
      <c r="L54" s="747"/>
      <c r="M54" s="751"/>
      <c r="N54" s="751"/>
      <c r="O54" s="747"/>
      <c r="P54" s="751"/>
      <c r="Q54" s="747" t="e">
        <f t="shared" si="1"/>
        <v>#DIV/0!</v>
      </c>
      <c r="R54" s="747" t="e">
        <f t="shared" si="3"/>
        <v>#DIV/0!</v>
      </c>
      <c r="S54" s="747" t="e">
        <f t="shared" si="5"/>
        <v>#DIV/0!</v>
      </c>
      <c r="T54" s="725"/>
      <c r="W54" s="106"/>
    </row>
    <row r="55" spans="1:23" ht="18.75" hidden="1" customHeight="1">
      <c r="A55" s="754">
        <v>1</v>
      </c>
      <c r="B55" s="755" t="s">
        <v>370</v>
      </c>
      <c r="C55" s="768"/>
      <c r="D55" s="763"/>
      <c r="E55" s="763"/>
      <c r="F55" s="763"/>
      <c r="G55" s="757">
        <f>H55+K55+N55</f>
        <v>0</v>
      </c>
      <c r="H55" s="756"/>
      <c r="I55" s="756"/>
      <c r="J55" s="756"/>
      <c r="K55" s="757"/>
      <c r="L55" s="757"/>
      <c r="M55" s="756"/>
      <c r="N55" s="757"/>
      <c r="O55" s="757"/>
      <c r="P55" s="756"/>
      <c r="Q55" s="747" t="e">
        <f t="shared" si="1"/>
        <v>#DIV/0!</v>
      </c>
      <c r="R55" s="747" t="e">
        <f t="shared" si="3"/>
        <v>#DIV/0!</v>
      </c>
      <c r="S55" s="747" t="e">
        <f t="shared" si="5"/>
        <v>#DIV/0!</v>
      </c>
      <c r="T55" s="725"/>
      <c r="W55" s="106"/>
    </row>
    <row r="56" spans="1:23" ht="15.75" hidden="1" customHeight="1">
      <c r="A56" s="754">
        <v>2</v>
      </c>
      <c r="B56" s="755" t="s">
        <v>371</v>
      </c>
      <c r="C56" s="768"/>
      <c r="D56" s="763"/>
      <c r="E56" s="763"/>
      <c r="F56" s="763"/>
      <c r="G56" s="757">
        <f>SUM(G57:G59)</f>
        <v>0</v>
      </c>
      <c r="H56" s="756">
        <f t="shared" ref="H56:P56" si="8">+H57+H58+H59</f>
        <v>0</v>
      </c>
      <c r="I56" s="756">
        <f t="shared" si="8"/>
        <v>0</v>
      </c>
      <c r="J56" s="756">
        <f t="shared" si="8"/>
        <v>0</v>
      </c>
      <c r="K56" s="757">
        <f t="shared" si="8"/>
        <v>0</v>
      </c>
      <c r="L56" s="757">
        <f t="shared" si="8"/>
        <v>0</v>
      </c>
      <c r="M56" s="756">
        <f t="shared" si="8"/>
        <v>0</v>
      </c>
      <c r="N56" s="757">
        <f t="shared" si="8"/>
        <v>0</v>
      </c>
      <c r="O56" s="757">
        <f t="shared" si="8"/>
        <v>0</v>
      </c>
      <c r="P56" s="756">
        <f t="shared" si="8"/>
        <v>0</v>
      </c>
      <c r="Q56" s="747" t="e">
        <f t="shared" si="1"/>
        <v>#DIV/0!</v>
      </c>
      <c r="R56" s="747" t="e">
        <f t="shared" si="3"/>
        <v>#DIV/0!</v>
      </c>
      <c r="S56" s="747" t="e">
        <f t="shared" si="5"/>
        <v>#DIV/0!</v>
      </c>
      <c r="T56" s="725"/>
      <c r="W56" s="297"/>
    </row>
    <row r="57" spans="1:23" ht="15.75" hidden="1" customHeight="1">
      <c r="A57" s="764" t="s">
        <v>372</v>
      </c>
      <c r="B57" s="760" t="s">
        <v>373</v>
      </c>
      <c r="C57" s="769"/>
      <c r="D57" s="761"/>
      <c r="E57" s="761"/>
      <c r="F57" s="761"/>
      <c r="G57" s="741">
        <f t="shared" ref="G57:G70" si="9">H57+K57+N57</f>
        <v>0</v>
      </c>
      <c r="H57" s="762"/>
      <c r="I57" s="762"/>
      <c r="J57" s="762"/>
      <c r="K57" s="741"/>
      <c r="L57" s="741"/>
      <c r="M57" s="762"/>
      <c r="N57" s="741"/>
      <c r="O57" s="741"/>
      <c r="P57" s="762"/>
      <c r="Q57" s="747" t="e">
        <f t="shared" si="1"/>
        <v>#DIV/0!</v>
      </c>
      <c r="R57" s="747" t="e">
        <f t="shared" si="3"/>
        <v>#DIV/0!</v>
      </c>
      <c r="S57" s="747" t="e">
        <f t="shared" si="5"/>
        <v>#DIV/0!</v>
      </c>
      <c r="T57" s="725"/>
      <c r="U57" s="106"/>
    </row>
    <row r="58" spans="1:23" ht="15.75" hidden="1" customHeight="1">
      <c r="A58" s="764" t="s">
        <v>374</v>
      </c>
      <c r="B58" s="760" t="s">
        <v>375</v>
      </c>
      <c r="C58" s="769"/>
      <c r="D58" s="761"/>
      <c r="E58" s="761"/>
      <c r="F58" s="761"/>
      <c r="G58" s="741">
        <f t="shared" si="9"/>
        <v>0</v>
      </c>
      <c r="H58" s="762"/>
      <c r="I58" s="762"/>
      <c r="J58" s="762"/>
      <c r="K58" s="741"/>
      <c r="L58" s="741"/>
      <c r="M58" s="762"/>
      <c r="N58" s="741"/>
      <c r="O58" s="741"/>
      <c r="P58" s="762"/>
      <c r="Q58" s="747" t="e">
        <f t="shared" si="1"/>
        <v>#DIV/0!</v>
      </c>
      <c r="R58" s="747" t="e">
        <f t="shared" si="3"/>
        <v>#DIV/0!</v>
      </c>
      <c r="S58" s="747" t="e">
        <f t="shared" si="5"/>
        <v>#DIV/0!</v>
      </c>
      <c r="T58" s="725"/>
    </row>
    <row r="59" spans="1:23" ht="15.75" hidden="1" customHeight="1">
      <c r="A59" s="764" t="s">
        <v>376</v>
      </c>
      <c r="B59" s="760" t="s">
        <v>377</v>
      </c>
      <c r="C59" s="769"/>
      <c r="D59" s="761"/>
      <c r="E59" s="761"/>
      <c r="F59" s="761"/>
      <c r="G59" s="741">
        <f t="shared" si="9"/>
        <v>0</v>
      </c>
      <c r="H59" s="762"/>
      <c r="I59" s="762"/>
      <c r="J59" s="762"/>
      <c r="K59" s="741"/>
      <c r="L59" s="770"/>
      <c r="M59" s="762"/>
      <c r="N59" s="741"/>
      <c r="O59" s="741"/>
      <c r="P59" s="762"/>
      <c r="Q59" s="747" t="e">
        <f t="shared" si="1"/>
        <v>#DIV/0!</v>
      </c>
      <c r="R59" s="747" t="e">
        <f t="shared" si="3"/>
        <v>#DIV/0!</v>
      </c>
      <c r="S59" s="747" t="e">
        <f t="shared" si="5"/>
        <v>#DIV/0!</v>
      </c>
      <c r="T59" s="725"/>
    </row>
    <row r="60" spans="1:23" ht="15.75" hidden="1" customHeight="1">
      <c r="A60" s="754">
        <v>3</v>
      </c>
      <c r="B60" s="755" t="s">
        <v>378</v>
      </c>
      <c r="C60" s="768"/>
      <c r="D60" s="763"/>
      <c r="E60" s="763"/>
      <c r="F60" s="763"/>
      <c r="G60" s="756">
        <f t="shared" si="9"/>
        <v>0</v>
      </c>
      <c r="H60" s="756">
        <f>+H61+H62+H63</f>
        <v>0</v>
      </c>
      <c r="I60" s="756">
        <f>+I61+I62+I63</f>
        <v>0</v>
      </c>
      <c r="J60" s="756">
        <f>+J61</f>
        <v>0</v>
      </c>
      <c r="K60" s="757">
        <f>+K61+K62+K63</f>
        <v>0</v>
      </c>
      <c r="L60" s="757">
        <f>+L61</f>
        <v>0</v>
      </c>
      <c r="M60" s="756">
        <f>+M61</f>
        <v>0</v>
      </c>
      <c r="N60" s="757">
        <f>+N61+N62+N63</f>
        <v>0</v>
      </c>
      <c r="O60" s="757">
        <f>+O61+O62+O63</f>
        <v>0</v>
      </c>
      <c r="P60" s="756"/>
      <c r="Q60" s="747" t="e">
        <f t="shared" si="1"/>
        <v>#DIV/0!</v>
      </c>
      <c r="R60" s="747" t="e">
        <f t="shared" si="3"/>
        <v>#DIV/0!</v>
      </c>
      <c r="S60" s="747" t="e">
        <f t="shared" si="5"/>
        <v>#DIV/0!</v>
      </c>
      <c r="T60" s="725"/>
    </row>
    <row r="61" spans="1:23" ht="15.75" hidden="1" customHeight="1">
      <c r="A61" s="764" t="s">
        <v>379</v>
      </c>
      <c r="B61" s="760" t="s">
        <v>380</v>
      </c>
      <c r="C61" s="769"/>
      <c r="D61" s="761"/>
      <c r="E61" s="761"/>
      <c r="F61" s="761"/>
      <c r="G61" s="741">
        <f t="shared" si="9"/>
        <v>0</v>
      </c>
      <c r="H61" s="762"/>
      <c r="I61" s="762"/>
      <c r="J61" s="762"/>
      <c r="K61" s="741"/>
      <c r="L61" s="741"/>
      <c r="M61" s="762"/>
      <c r="N61" s="741"/>
      <c r="O61" s="741"/>
      <c r="P61" s="762"/>
      <c r="Q61" s="747" t="e">
        <f t="shared" si="1"/>
        <v>#DIV/0!</v>
      </c>
      <c r="R61" s="747" t="e">
        <f t="shared" si="3"/>
        <v>#DIV/0!</v>
      </c>
      <c r="S61" s="747" t="e">
        <f t="shared" si="5"/>
        <v>#DIV/0!</v>
      </c>
      <c r="T61" s="725"/>
    </row>
    <row r="62" spans="1:23" ht="15.75" hidden="1" customHeight="1">
      <c r="A62" s="764" t="s">
        <v>381</v>
      </c>
      <c r="B62" s="760" t="s">
        <v>382</v>
      </c>
      <c r="C62" s="769"/>
      <c r="D62" s="761"/>
      <c r="E62" s="761"/>
      <c r="F62" s="761"/>
      <c r="G62" s="741">
        <f t="shared" si="9"/>
        <v>0</v>
      </c>
      <c r="H62" s="762"/>
      <c r="I62" s="762"/>
      <c r="J62" s="762"/>
      <c r="K62" s="741"/>
      <c r="L62" s="741"/>
      <c r="M62" s="762"/>
      <c r="N62" s="741"/>
      <c r="O62" s="741"/>
      <c r="P62" s="762"/>
      <c r="Q62" s="747" t="e">
        <f t="shared" si="1"/>
        <v>#DIV/0!</v>
      </c>
      <c r="R62" s="747" t="e">
        <f t="shared" si="3"/>
        <v>#DIV/0!</v>
      </c>
      <c r="S62" s="747" t="e">
        <f t="shared" si="5"/>
        <v>#DIV/0!</v>
      </c>
      <c r="T62" s="725"/>
    </row>
    <row r="63" spans="1:23" ht="15.75" hidden="1" customHeight="1">
      <c r="A63" s="764" t="s">
        <v>383</v>
      </c>
      <c r="B63" s="760" t="s">
        <v>384</v>
      </c>
      <c r="C63" s="769"/>
      <c r="D63" s="761"/>
      <c r="E63" s="761"/>
      <c r="F63" s="761"/>
      <c r="G63" s="741">
        <f t="shared" si="9"/>
        <v>0</v>
      </c>
      <c r="H63" s="762"/>
      <c r="I63" s="762"/>
      <c r="J63" s="762"/>
      <c r="K63" s="741"/>
      <c r="L63" s="741"/>
      <c r="M63" s="762"/>
      <c r="N63" s="741"/>
      <c r="O63" s="741"/>
      <c r="P63" s="762"/>
      <c r="Q63" s="747" t="e">
        <f t="shared" si="1"/>
        <v>#DIV/0!</v>
      </c>
      <c r="R63" s="747" t="e">
        <f t="shared" si="3"/>
        <v>#DIV/0!</v>
      </c>
      <c r="S63" s="747" t="e">
        <f t="shared" si="5"/>
        <v>#DIV/0!</v>
      </c>
      <c r="T63" s="725"/>
    </row>
    <row r="64" spans="1:23" ht="15.75" hidden="1" customHeight="1">
      <c r="A64" s="754">
        <v>4</v>
      </c>
      <c r="B64" s="755" t="s">
        <v>385</v>
      </c>
      <c r="C64" s="768"/>
      <c r="D64" s="763"/>
      <c r="E64" s="763"/>
      <c r="F64" s="763"/>
      <c r="G64" s="757">
        <f t="shared" si="9"/>
        <v>0</v>
      </c>
      <c r="H64" s="756"/>
      <c r="I64" s="756"/>
      <c r="J64" s="756"/>
      <c r="K64" s="757"/>
      <c r="L64" s="757"/>
      <c r="M64" s="756"/>
      <c r="N64" s="757"/>
      <c r="O64" s="757"/>
      <c r="P64" s="756"/>
      <c r="Q64" s="747" t="e">
        <f t="shared" si="1"/>
        <v>#DIV/0!</v>
      </c>
      <c r="R64" s="747" t="e">
        <f t="shared" si="3"/>
        <v>#DIV/0!</v>
      </c>
      <c r="S64" s="747" t="e">
        <f t="shared" si="5"/>
        <v>#DIV/0!</v>
      </c>
      <c r="T64" s="725"/>
    </row>
    <row r="65" spans="1:21" ht="15.75" hidden="1" customHeight="1">
      <c r="A65" s="754">
        <v>5</v>
      </c>
      <c r="B65" s="755" t="s">
        <v>386</v>
      </c>
      <c r="C65" s="768"/>
      <c r="D65" s="763"/>
      <c r="E65" s="763"/>
      <c r="F65" s="763"/>
      <c r="G65" s="757">
        <f t="shared" si="9"/>
        <v>0</v>
      </c>
      <c r="H65" s="756"/>
      <c r="I65" s="756"/>
      <c r="J65" s="756"/>
      <c r="K65" s="757"/>
      <c r="L65" s="757"/>
      <c r="M65" s="756"/>
      <c r="N65" s="757"/>
      <c r="O65" s="757"/>
      <c r="P65" s="756"/>
      <c r="Q65" s="747" t="e">
        <f t="shared" si="1"/>
        <v>#DIV/0!</v>
      </c>
      <c r="R65" s="747" t="e">
        <f t="shared" si="3"/>
        <v>#DIV/0!</v>
      </c>
      <c r="S65" s="747" t="e">
        <f t="shared" si="5"/>
        <v>#DIV/0!</v>
      </c>
      <c r="T65" s="725"/>
    </row>
    <row r="66" spans="1:21" ht="15.75" hidden="1" customHeight="1">
      <c r="A66" s="754">
        <v>6</v>
      </c>
      <c r="B66" s="755" t="s">
        <v>387</v>
      </c>
      <c r="C66" s="768"/>
      <c r="D66" s="763"/>
      <c r="E66" s="763"/>
      <c r="F66" s="763"/>
      <c r="G66" s="757">
        <f t="shared" si="9"/>
        <v>0</v>
      </c>
      <c r="H66" s="756"/>
      <c r="I66" s="756"/>
      <c r="J66" s="756"/>
      <c r="K66" s="757"/>
      <c r="L66" s="757"/>
      <c r="M66" s="756"/>
      <c r="N66" s="757"/>
      <c r="O66" s="757"/>
      <c r="P66" s="756"/>
      <c r="Q66" s="747" t="e">
        <f t="shared" si="1"/>
        <v>#DIV/0!</v>
      </c>
      <c r="R66" s="747" t="e">
        <f t="shared" si="3"/>
        <v>#DIV/0!</v>
      </c>
      <c r="S66" s="747" t="e">
        <f t="shared" si="5"/>
        <v>#DIV/0!</v>
      </c>
      <c r="T66" s="725"/>
    </row>
    <row r="67" spans="1:21" ht="15.75" hidden="1" customHeight="1">
      <c r="A67" s="754">
        <v>7</v>
      </c>
      <c r="B67" s="755" t="s">
        <v>388</v>
      </c>
      <c r="C67" s="768"/>
      <c r="D67" s="763"/>
      <c r="E67" s="763"/>
      <c r="F67" s="763"/>
      <c r="G67" s="757">
        <f t="shared" si="9"/>
        <v>0</v>
      </c>
      <c r="H67" s="756"/>
      <c r="I67" s="756"/>
      <c r="J67" s="756"/>
      <c r="K67" s="757"/>
      <c r="L67" s="757"/>
      <c r="M67" s="756"/>
      <c r="N67" s="757"/>
      <c r="O67" s="757"/>
      <c r="P67" s="756"/>
      <c r="Q67" s="747" t="e">
        <f t="shared" si="1"/>
        <v>#DIV/0!</v>
      </c>
      <c r="R67" s="747" t="e">
        <f t="shared" si="3"/>
        <v>#DIV/0!</v>
      </c>
      <c r="S67" s="747" t="e">
        <f t="shared" si="5"/>
        <v>#DIV/0!</v>
      </c>
      <c r="T67" s="725"/>
    </row>
    <row r="68" spans="1:21" ht="15.75" hidden="1" customHeight="1">
      <c r="A68" s="754">
        <v>8</v>
      </c>
      <c r="B68" s="755" t="s">
        <v>389</v>
      </c>
      <c r="C68" s="768"/>
      <c r="D68" s="763"/>
      <c r="E68" s="763"/>
      <c r="F68" s="763"/>
      <c r="G68" s="757">
        <f t="shared" si="9"/>
        <v>0</v>
      </c>
      <c r="H68" s="756"/>
      <c r="I68" s="756"/>
      <c r="J68" s="756"/>
      <c r="K68" s="757"/>
      <c r="L68" s="757"/>
      <c r="M68" s="756"/>
      <c r="N68" s="757"/>
      <c r="O68" s="757"/>
      <c r="P68" s="756"/>
      <c r="Q68" s="747" t="e">
        <f t="shared" si="1"/>
        <v>#DIV/0!</v>
      </c>
      <c r="R68" s="747" t="e">
        <f t="shared" si="3"/>
        <v>#DIV/0!</v>
      </c>
      <c r="S68" s="747" t="e">
        <f t="shared" si="5"/>
        <v>#DIV/0!</v>
      </c>
      <c r="T68" s="725"/>
    </row>
    <row r="69" spans="1:21" ht="15.75" hidden="1" customHeight="1">
      <c r="A69" s="754">
        <v>9</v>
      </c>
      <c r="B69" s="755" t="s">
        <v>390</v>
      </c>
      <c r="C69" s="768"/>
      <c r="D69" s="763"/>
      <c r="E69" s="763"/>
      <c r="F69" s="763"/>
      <c r="G69" s="757">
        <f t="shared" si="9"/>
        <v>0</v>
      </c>
      <c r="H69" s="756"/>
      <c r="I69" s="756"/>
      <c r="J69" s="756"/>
      <c r="K69" s="757"/>
      <c r="L69" s="757"/>
      <c r="M69" s="756"/>
      <c r="N69" s="757"/>
      <c r="O69" s="757"/>
      <c r="P69" s="756"/>
      <c r="Q69" s="747" t="e">
        <f t="shared" si="1"/>
        <v>#DIV/0!</v>
      </c>
      <c r="R69" s="747" t="e">
        <f t="shared" si="3"/>
        <v>#DIV/0!</v>
      </c>
      <c r="S69" s="747" t="e">
        <f t="shared" si="5"/>
        <v>#DIV/0!</v>
      </c>
      <c r="T69" s="725"/>
    </row>
    <row r="70" spans="1:21" ht="16.5" hidden="1" customHeight="1">
      <c r="A70" s="754">
        <v>10</v>
      </c>
      <c r="B70" s="755" t="s">
        <v>391</v>
      </c>
      <c r="C70" s="768"/>
      <c r="D70" s="765"/>
      <c r="E70" s="765"/>
      <c r="F70" s="765"/>
      <c r="G70" s="757">
        <f t="shared" si="9"/>
        <v>0</v>
      </c>
      <c r="H70" s="756"/>
      <c r="I70" s="756"/>
      <c r="J70" s="756"/>
      <c r="K70" s="757"/>
      <c r="L70" s="757"/>
      <c r="M70" s="756"/>
      <c r="N70" s="757"/>
      <c r="O70" s="757"/>
      <c r="P70" s="756"/>
      <c r="Q70" s="747" t="e">
        <f t="shared" si="1"/>
        <v>#DIV/0!</v>
      </c>
      <c r="R70" s="747" t="e">
        <f t="shared" si="3"/>
        <v>#DIV/0!</v>
      </c>
      <c r="S70" s="747" t="e">
        <f t="shared" si="5"/>
        <v>#DIV/0!</v>
      </c>
      <c r="T70" s="725"/>
    </row>
    <row r="71" spans="1:21" ht="16.5" hidden="1" customHeight="1">
      <c r="A71" s="754">
        <v>11</v>
      </c>
      <c r="B71" s="755" t="s">
        <v>392</v>
      </c>
      <c r="C71" s="768"/>
      <c r="D71" s="763"/>
      <c r="E71" s="763"/>
      <c r="F71" s="763"/>
      <c r="G71" s="757">
        <f>+G72+G73+G74</f>
        <v>0</v>
      </c>
      <c r="H71" s="756">
        <f>+H72+H73+H74</f>
        <v>0</v>
      </c>
      <c r="I71" s="756">
        <f>+I72+I73+I74</f>
        <v>0</v>
      </c>
      <c r="J71" s="756">
        <f>+J72+J73+J74</f>
        <v>0</v>
      </c>
      <c r="K71" s="757">
        <f>+K72+K73+K74</f>
        <v>0</v>
      </c>
      <c r="L71" s="757">
        <f>+L72</f>
        <v>0</v>
      </c>
      <c r="M71" s="756"/>
      <c r="N71" s="757">
        <f>+N72+N73+N74</f>
        <v>0</v>
      </c>
      <c r="O71" s="757">
        <f>+O72</f>
        <v>0</v>
      </c>
      <c r="P71" s="756"/>
      <c r="Q71" s="747" t="e">
        <f t="shared" si="1"/>
        <v>#DIV/0!</v>
      </c>
      <c r="R71" s="747" t="e">
        <f t="shared" si="3"/>
        <v>#DIV/0!</v>
      </c>
      <c r="S71" s="747" t="e">
        <f t="shared" si="5"/>
        <v>#DIV/0!</v>
      </c>
      <c r="T71" s="725"/>
    </row>
    <row r="72" spans="1:21" ht="16.5" hidden="1" customHeight="1">
      <c r="A72" s="764" t="s">
        <v>393</v>
      </c>
      <c r="B72" s="760" t="s">
        <v>394</v>
      </c>
      <c r="C72" s="769"/>
      <c r="D72" s="763"/>
      <c r="E72" s="763"/>
      <c r="F72" s="763"/>
      <c r="G72" s="741">
        <f t="shared" ref="G72:G78" si="10">H72+K72+N72</f>
        <v>0</v>
      </c>
      <c r="H72" s="762"/>
      <c r="I72" s="762"/>
      <c r="J72" s="762"/>
      <c r="K72" s="741"/>
      <c r="L72" s="741"/>
      <c r="M72" s="762"/>
      <c r="N72" s="741"/>
      <c r="O72" s="741"/>
      <c r="P72" s="762"/>
      <c r="Q72" s="747" t="e">
        <f t="shared" si="1"/>
        <v>#DIV/0!</v>
      </c>
      <c r="R72" s="747" t="e">
        <f t="shared" si="3"/>
        <v>#DIV/0!</v>
      </c>
      <c r="S72" s="747" t="e">
        <f t="shared" si="5"/>
        <v>#DIV/0!</v>
      </c>
      <c r="T72" s="725"/>
    </row>
    <row r="73" spans="1:21" ht="16.5" hidden="1" customHeight="1">
      <c r="A73" s="764" t="s">
        <v>395</v>
      </c>
      <c r="B73" s="760" t="s">
        <v>396</v>
      </c>
      <c r="C73" s="769"/>
      <c r="D73" s="761"/>
      <c r="E73" s="761"/>
      <c r="F73" s="761"/>
      <c r="G73" s="741">
        <f t="shared" si="10"/>
        <v>0</v>
      </c>
      <c r="H73" s="762"/>
      <c r="I73" s="762"/>
      <c r="J73" s="762"/>
      <c r="K73" s="741"/>
      <c r="L73" s="741"/>
      <c r="M73" s="762"/>
      <c r="N73" s="741"/>
      <c r="O73" s="741"/>
      <c r="P73" s="762"/>
      <c r="Q73" s="747" t="e">
        <f t="shared" si="1"/>
        <v>#DIV/0!</v>
      </c>
      <c r="R73" s="747" t="e">
        <f t="shared" si="3"/>
        <v>#DIV/0!</v>
      </c>
      <c r="S73" s="747" t="e">
        <f t="shared" si="5"/>
        <v>#DIV/0!</v>
      </c>
      <c r="T73" s="725"/>
    </row>
    <row r="74" spans="1:21" ht="16.5" hidden="1" customHeight="1">
      <c r="A74" s="764" t="s">
        <v>397</v>
      </c>
      <c r="B74" s="760" t="s">
        <v>398</v>
      </c>
      <c r="C74" s="769"/>
      <c r="D74" s="761"/>
      <c r="E74" s="761"/>
      <c r="F74" s="761"/>
      <c r="G74" s="741">
        <f t="shared" si="10"/>
        <v>0</v>
      </c>
      <c r="H74" s="762"/>
      <c r="I74" s="762"/>
      <c r="J74" s="762"/>
      <c r="K74" s="741"/>
      <c r="L74" s="741"/>
      <c r="M74" s="762"/>
      <c r="N74" s="741"/>
      <c r="O74" s="741"/>
      <c r="P74" s="762"/>
      <c r="Q74" s="747" t="e">
        <f t="shared" si="1"/>
        <v>#DIV/0!</v>
      </c>
      <c r="R74" s="747" t="e">
        <f t="shared" si="3"/>
        <v>#DIV/0!</v>
      </c>
      <c r="S74" s="747" t="e">
        <f t="shared" si="5"/>
        <v>#DIV/0!</v>
      </c>
      <c r="T74" s="725"/>
    </row>
    <row r="75" spans="1:21" ht="16.5" hidden="1" customHeight="1">
      <c r="A75" s="754">
        <v>12</v>
      </c>
      <c r="B75" s="755" t="s">
        <v>335</v>
      </c>
      <c r="C75" s="768"/>
      <c r="D75" s="763"/>
      <c r="E75" s="763"/>
      <c r="F75" s="763"/>
      <c r="G75" s="757">
        <f t="shared" si="10"/>
        <v>0</v>
      </c>
      <c r="H75" s="756"/>
      <c r="I75" s="756"/>
      <c r="J75" s="756"/>
      <c r="K75" s="757"/>
      <c r="L75" s="757"/>
      <c r="M75" s="756"/>
      <c r="N75" s="757"/>
      <c r="O75" s="757"/>
      <c r="P75" s="756"/>
      <c r="Q75" s="747" t="e">
        <f t="shared" si="1"/>
        <v>#DIV/0!</v>
      </c>
      <c r="R75" s="747" t="e">
        <f t="shared" si="3"/>
        <v>#DIV/0!</v>
      </c>
      <c r="S75" s="747" t="e">
        <f t="shared" si="5"/>
        <v>#DIV/0!</v>
      </c>
      <c r="T75" s="725" t="e">
        <f>+G75/"#REF!*100"</f>
        <v>#VALUE!</v>
      </c>
    </row>
    <row r="76" spans="1:21" ht="16.5" hidden="1" customHeight="1">
      <c r="A76" s="754">
        <v>13</v>
      </c>
      <c r="B76" s="755" t="s">
        <v>399</v>
      </c>
      <c r="C76" s="768"/>
      <c r="D76" s="765"/>
      <c r="E76" s="765"/>
      <c r="F76" s="765"/>
      <c r="G76" s="757">
        <f t="shared" si="10"/>
        <v>0</v>
      </c>
      <c r="H76" s="756"/>
      <c r="I76" s="756"/>
      <c r="J76" s="756"/>
      <c r="K76" s="757"/>
      <c r="L76" s="757"/>
      <c r="M76" s="756"/>
      <c r="N76" s="757"/>
      <c r="O76" s="757"/>
      <c r="P76" s="756"/>
      <c r="Q76" s="747" t="e">
        <f t="shared" ref="Q76:Q94" si="11">G76/D76*100</f>
        <v>#DIV/0!</v>
      </c>
      <c r="R76" s="747" t="e">
        <f t="shared" ref="R76:R94" si="12">H76/E76*100</f>
        <v>#DIV/0!</v>
      </c>
      <c r="S76" s="747" t="e">
        <f t="shared" si="5"/>
        <v>#DIV/0!</v>
      </c>
      <c r="T76" s="725" t="e">
        <f>+G76/"#REF!*100"</f>
        <v>#VALUE!</v>
      </c>
    </row>
    <row r="77" spans="1:21" s="299" customFormat="1" ht="15" hidden="1" customHeight="1">
      <c r="A77" s="754">
        <v>12</v>
      </c>
      <c r="B77" s="755" t="s">
        <v>369</v>
      </c>
      <c r="C77" s="768"/>
      <c r="D77" s="763"/>
      <c r="E77" s="763"/>
      <c r="F77" s="763"/>
      <c r="G77" s="757">
        <f t="shared" si="10"/>
        <v>0</v>
      </c>
      <c r="H77" s="756"/>
      <c r="I77" s="756"/>
      <c r="J77" s="756"/>
      <c r="K77" s="757"/>
      <c r="L77" s="757"/>
      <c r="M77" s="756"/>
      <c r="N77" s="757"/>
      <c r="O77" s="741"/>
      <c r="P77" s="756"/>
      <c r="Q77" s="747" t="e">
        <f t="shared" si="11"/>
        <v>#DIV/0!</v>
      </c>
      <c r="R77" s="747" t="e">
        <f t="shared" si="12"/>
        <v>#DIV/0!</v>
      </c>
      <c r="S77" s="747" t="e">
        <f t="shared" si="5"/>
        <v>#DIV/0!</v>
      </c>
      <c r="T77" s="728" t="e">
        <f>+G77/"#REF!*100"</f>
        <v>#VALUE!</v>
      </c>
    </row>
    <row r="78" spans="1:21" s="299" customFormat="1" ht="17.25" hidden="1" customHeight="1">
      <c r="A78" s="748" t="s">
        <v>130</v>
      </c>
      <c r="B78" s="749" t="s">
        <v>400</v>
      </c>
      <c r="C78" s="752"/>
      <c r="D78" s="759"/>
      <c r="E78" s="759"/>
      <c r="F78" s="759"/>
      <c r="G78" s="747">
        <f t="shared" si="10"/>
        <v>0</v>
      </c>
      <c r="H78" s="751"/>
      <c r="I78" s="751"/>
      <c r="J78" s="751"/>
      <c r="K78" s="747"/>
      <c r="L78" s="747"/>
      <c r="M78" s="751"/>
      <c r="N78" s="747"/>
      <c r="O78" s="747"/>
      <c r="P78" s="751"/>
      <c r="Q78" s="747" t="e">
        <f t="shared" si="11"/>
        <v>#DIV/0!</v>
      </c>
      <c r="R78" s="747" t="e">
        <f t="shared" si="12"/>
        <v>#DIV/0!</v>
      </c>
      <c r="S78" s="747" t="e">
        <f t="shared" ref="S78:S83" si="13">K78/F78*100</f>
        <v>#DIV/0!</v>
      </c>
      <c r="T78" s="728"/>
    </row>
    <row r="79" spans="1:21" s="299" customFormat="1" ht="20.100000000000001" customHeight="1">
      <c r="A79" s="748" t="s">
        <v>401</v>
      </c>
      <c r="B79" s="749" t="s">
        <v>64</v>
      </c>
      <c r="C79" s="752">
        <v>1000</v>
      </c>
      <c r="D79" s="759">
        <v>1000</v>
      </c>
      <c r="E79" s="759">
        <v>1000</v>
      </c>
      <c r="F79" s="759"/>
      <c r="G79" s="747">
        <f>H79+K79+N79</f>
        <v>1000</v>
      </c>
      <c r="H79" s="751">
        <v>1000</v>
      </c>
      <c r="I79" s="751"/>
      <c r="J79" s="751"/>
      <c r="K79" s="747"/>
      <c r="L79" s="747"/>
      <c r="M79" s="751"/>
      <c r="N79" s="747"/>
      <c r="O79" s="747"/>
      <c r="P79" s="751"/>
      <c r="Q79" s="747">
        <f t="shared" si="11"/>
        <v>100</v>
      </c>
      <c r="R79" s="747">
        <f t="shared" si="12"/>
        <v>100</v>
      </c>
      <c r="S79" s="753">
        <v>0</v>
      </c>
      <c r="T79" s="728"/>
      <c r="U79" s="300"/>
    </row>
    <row r="80" spans="1:21" s="299" customFormat="1" ht="20.100000000000001" customHeight="1">
      <c r="A80" s="748" t="s">
        <v>402</v>
      </c>
      <c r="B80" s="749" t="s">
        <v>403</v>
      </c>
      <c r="C80" s="752">
        <v>140920</v>
      </c>
      <c r="D80" s="759">
        <v>140920</v>
      </c>
      <c r="E80" s="759">
        <v>76603</v>
      </c>
      <c r="F80" s="759">
        <v>64317</v>
      </c>
      <c r="G80" s="753">
        <v>0</v>
      </c>
      <c r="H80" s="753">
        <v>0</v>
      </c>
      <c r="I80" s="753"/>
      <c r="J80" s="753"/>
      <c r="K80" s="753">
        <v>0</v>
      </c>
      <c r="L80" s="753"/>
      <c r="M80" s="753"/>
      <c r="N80" s="753">
        <v>0</v>
      </c>
      <c r="O80" s="747"/>
      <c r="P80" s="751"/>
      <c r="Q80" s="753">
        <f t="shared" si="11"/>
        <v>0</v>
      </c>
      <c r="R80" s="747">
        <f t="shared" si="12"/>
        <v>0</v>
      </c>
      <c r="S80" s="753">
        <f t="shared" si="13"/>
        <v>0</v>
      </c>
      <c r="T80" s="728"/>
    </row>
    <row r="81" spans="1:23" s="299" customFormat="1" ht="20.100000000000001" customHeight="1">
      <c r="A81" s="748" t="s">
        <v>404</v>
      </c>
      <c r="B81" s="749" t="s">
        <v>72</v>
      </c>
      <c r="C81" s="752"/>
      <c r="D81" s="759"/>
      <c r="E81" s="759"/>
      <c r="F81" s="759"/>
      <c r="G81" s="747">
        <f>H81+K81</f>
        <v>3170.46</v>
      </c>
      <c r="H81" s="989">
        <v>2655</v>
      </c>
      <c r="I81" s="751"/>
      <c r="J81" s="751"/>
      <c r="K81" s="751">
        <f>217.46+298</f>
        <v>515.46</v>
      </c>
      <c r="L81" s="751"/>
      <c r="M81" s="751"/>
      <c r="N81" s="751">
        <v>39276.364096999998</v>
      </c>
      <c r="O81" s="747"/>
      <c r="P81" s="751"/>
      <c r="Q81" s="753">
        <v>0</v>
      </c>
      <c r="R81" s="753">
        <v>0</v>
      </c>
      <c r="S81" s="753">
        <v>0</v>
      </c>
      <c r="T81" s="728"/>
      <c r="U81" s="299">
        <v>1</v>
      </c>
      <c r="V81" s="299">
        <v>3442.2</v>
      </c>
    </row>
    <row r="82" spans="1:23" s="299" customFormat="1" ht="20.100000000000001" customHeight="1">
      <c r="A82" s="748" t="s">
        <v>406</v>
      </c>
      <c r="B82" s="749" t="s">
        <v>407</v>
      </c>
      <c r="C82" s="753">
        <v>0</v>
      </c>
      <c r="D82" s="753">
        <v>0</v>
      </c>
      <c r="E82" s="753"/>
      <c r="F82" s="753"/>
      <c r="G82" s="753">
        <v>0</v>
      </c>
      <c r="H82" s="753">
        <v>0</v>
      </c>
      <c r="I82" s="753"/>
      <c r="J82" s="753"/>
      <c r="K82" s="753">
        <v>0</v>
      </c>
      <c r="L82" s="753"/>
      <c r="M82" s="753"/>
      <c r="N82" s="753">
        <v>0</v>
      </c>
      <c r="O82" s="753"/>
      <c r="P82" s="753"/>
      <c r="Q82" s="753">
        <v>0</v>
      </c>
      <c r="R82" s="753">
        <v>0</v>
      </c>
      <c r="S82" s="753">
        <v>0</v>
      </c>
      <c r="T82" s="728" t="e">
        <f>+G82/"#REF!*100"</f>
        <v>#VALUE!</v>
      </c>
      <c r="U82" s="299">
        <v>2</v>
      </c>
      <c r="V82" s="299">
        <v>28281.599999999999</v>
      </c>
      <c r="W82" s="299">
        <v>5205.3999999999996</v>
      </c>
    </row>
    <row r="83" spans="1:23" s="299" customFormat="1" ht="17.25" hidden="1" customHeight="1">
      <c r="A83" s="748" t="s">
        <v>406</v>
      </c>
      <c r="B83" s="749" t="s">
        <v>133</v>
      </c>
      <c r="C83" s="771"/>
      <c r="D83" s="759"/>
      <c r="E83" s="759"/>
      <c r="F83" s="759"/>
      <c r="G83" s="747"/>
      <c r="H83" s="751"/>
      <c r="I83" s="751"/>
      <c r="J83" s="751"/>
      <c r="K83" s="747"/>
      <c r="L83" s="747"/>
      <c r="M83" s="751"/>
      <c r="N83" s="747"/>
      <c r="O83" s="747"/>
      <c r="P83" s="751"/>
      <c r="Q83" s="747" t="e">
        <f t="shared" si="11"/>
        <v>#DIV/0!</v>
      </c>
      <c r="R83" s="747" t="e">
        <f t="shared" si="12"/>
        <v>#DIV/0!</v>
      </c>
      <c r="S83" s="753" t="e">
        <f t="shared" si="13"/>
        <v>#DIV/0!</v>
      </c>
      <c r="T83" s="725" t="e">
        <f>+G83/"#REF!*100"</f>
        <v>#VALUE!</v>
      </c>
      <c r="U83" s="299">
        <v>3</v>
      </c>
      <c r="V83" s="299">
        <v>23653.454000000002</v>
      </c>
    </row>
    <row r="84" spans="1:23" s="299" customFormat="1" ht="20.100000000000001" customHeight="1">
      <c r="A84" s="748" t="s">
        <v>77</v>
      </c>
      <c r="B84" s="749" t="s">
        <v>1331</v>
      </c>
      <c r="C84" s="772">
        <f>+C85+C94</f>
        <v>632462</v>
      </c>
      <c r="D84" s="772">
        <f>+D85+D94</f>
        <v>632462</v>
      </c>
      <c r="E84" s="772">
        <f>+E85+E94</f>
        <v>632462</v>
      </c>
      <c r="F84" s="772"/>
      <c r="G84" s="751">
        <f>H84+K84</f>
        <v>844435.173159</v>
      </c>
      <c r="H84" s="751">
        <f>H85+H94</f>
        <v>735330.57128199993</v>
      </c>
      <c r="I84" s="751">
        <f t="shared" ref="I84:P84" si="14">I85+I94</f>
        <v>12289.712349000001</v>
      </c>
      <c r="J84" s="751">
        <f>J85+J94</f>
        <v>723040.85893299989</v>
      </c>
      <c r="K84" s="751">
        <f t="shared" si="14"/>
        <v>109104.60187700001</v>
      </c>
      <c r="L84" s="751">
        <f t="shared" si="14"/>
        <v>6184.9527999999991</v>
      </c>
      <c r="M84" s="751">
        <f t="shared" si="14"/>
        <v>12587.647931</v>
      </c>
      <c r="N84" s="751">
        <f t="shared" si="14"/>
        <v>90332.001145999995</v>
      </c>
      <c r="O84" s="747">
        <f t="shared" si="14"/>
        <v>9460.2830059999997</v>
      </c>
      <c r="P84" s="751">
        <f t="shared" si="14"/>
        <v>80871.718139999997</v>
      </c>
      <c r="Q84" s="747">
        <f t="shared" si="11"/>
        <v>133.51555874645433</v>
      </c>
      <c r="R84" s="747">
        <f t="shared" si="12"/>
        <v>116.26478290901269</v>
      </c>
      <c r="S84" s="753">
        <v>0</v>
      </c>
      <c r="T84" s="725" t="e">
        <f>+G84/"#REF!*100"</f>
        <v>#VALUE!</v>
      </c>
      <c r="U84" s="301">
        <f>+J84+M84+P84</f>
        <v>816500.22500399989</v>
      </c>
      <c r="V84" s="299">
        <v>4914</v>
      </c>
    </row>
    <row r="85" spans="1:23" s="299" customFormat="1" ht="20.100000000000001" customHeight="1">
      <c r="A85" s="754">
        <v>1</v>
      </c>
      <c r="B85" s="755" t="s">
        <v>410</v>
      </c>
      <c r="C85" s="767">
        <f>SUM(C86:C93)</f>
        <v>125042</v>
      </c>
      <c r="D85" s="767">
        <v>125042</v>
      </c>
      <c r="E85" s="767">
        <v>125042</v>
      </c>
      <c r="F85" s="767"/>
      <c r="G85" s="757">
        <f>SUM(G86:G93)</f>
        <v>121394.314226</v>
      </c>
      <c r="H85" s="756">
        <f t="shared" ref="H85:N85" si="15">SUM(H86:H93)</f>
        <v>12289.712349000001</v>
      </c>
      <c r="I85" s="756">
        <f t="shared" si="15"/>
        <v>12289.712349000001</v>
      </c>
      <c r="J85" s="756">
        <f>SUM(J86:J93)</f>
        <v>0</v>
      </c>
      <c r="K85" s="757">
        <f>SUM(K86:K93)</f>
        <v>109104.60187700001</v>
      </c>
      <c r="L85" s="757">
        <f t="shared" si="15"/>
        <v>6184.9527999999991</v>
      </c>
      <c r="M85" s="756">
        <f t="shared" si="15"/>
        <v>12587.647931</v>
      </c>
      <c r="N85" s="757">
        <f t="shared" si="15"/>
        <v>90332.001145999995</v>
      </c>
      <c r="O85" s="757">
        <f>SUM(O86:O94)</f>
        <v>9460.2830059999997</v>
      </c>
      <c r="P85" s="756">
        <f>SUM(P86:P94)</f>
        <v>80871.718139999997</v>
      </c>
      <c r="Q85" s="747">
        <f t="shared" si="11"/>
        <v>97.082831549399401</v>
      </c>
      <c r="R85" s="747">
        <f t="shared" si="12"/>
        <v>9.8284675141152569</v>
      </c>
      <c r="S85" s="753">
        <v>0</v>
      </c>
      <c r="T85" s="725"/>
      <c r="U85" s="299">
        <v>6</v>
      </c>
      <c r="V85" s="299">
        <v>10200.666999999999</v>
      </c>
    </row>
    <row r="86" spans="1:23" s="302" customFormat="1" ht="20.100000000000001" customHeight="1">
      <c r="A86" s="773" t="s">
        <v>334</v>
      </c>
      <c r="B86" s="774" t="s">
        <v>411</v>
      </c>
      <c r="C86" s="775">
        <v>42142</v>
      </c>
      <c r="D86" s="753">
        <v>0</v>
      </c>
      <c r="E86" s="753">
        <v>0</v>
      </c>
      <c r="F86" s="753">
        <v>0</v>
      </c>
      <c r="G86" s="756">
        <f>+H86+K86</f>
        <v>33027.924439999995</v>
      </c>
      <c r="H86" s="756">
        <f t="shared" ref="H86:H93" si="16">SUM(I86:J86)</f>
        <v>1492.4157520000001</v>
      </c>
      <c r="I86" s="756">
        <v>1492.4157520000001</v>
      </c>
      <c r="J86" s="756"/>
      <c r="K86" s="756">
        <f>+L86+M86+N86</f>
        <v>31535.508687999998</v>
      </c>
      <c r="L86" s="756"/>
      <c r="M86" s="756">
        <v>8200.6659309999995</v>
      </c>
      <c r="N86" s="756">
        <f>SUM(O86:P86)</f>
        <v>23334.842756999999</v>
      </c>
      <c r="O86" s="756">
        <v>7042.1062000000002</v>
      </c>
      <c r="P86" s="756">
        <v>16292.736557</v>
      </c>
      <c r="Q86" s="753">
        <v>0</v>
      </c>
      <c r="R86" s="753">
        <v>0</v>
      </c>
      <c r="S86" s="753">
        <v>0</v>
      </c>
      <c r="T86" s="725" t="e">
        <f>+G86/"#REF!*100"</f>
        <v>#VALUE!</v>
      </c>
      <c r="U86" s="302">
        <v>7</v>
      </c>
      <c r="V86" s="302">
        <v>19743.741000000002</v>
      </c>
      <c r="W86" s="302">
        <v>472.26600000000002</v>
      </c>
    </row>
    <row r="87" spans="1:23" s="299" customFormat="1" ht="20.100000000000001" customHeight="1">
      <c r="A87" s="754" t="s">
        <v>336</v>
      </c>
      <c r="B87" s="755" t="s">
        <v>412</v>
      </c>
      <c r="C87" s="776">
        <v>82900</v>
      </c>
      <c r="D87" s="753">
        <v>0</v>
      </c>
      <c r="E87" s="753">
        <v>0</v>
      </c>
      <c r="F87" s="753">
        <v>0</v>
      </c>
      <c r="G87" s="757">
        <f>+H87+K87</f>
        <v>86257.847989000002</v>
      </c>
      <c r="H87" s="756">
        <f t="shared" si="16"/>
        <v>8994.1803</v>
      </c>
      <c r="I87" s="756">
        <v>8994.1803</v>
      </c>
      <c r="J87" s="756"/>
      <c r="K87" s="757">
        <f>+L87+M87+N87</f>
        <v>77263.667689000009</v>
      </c>
      <c r="L87" s="757">
        <v>5879.5272999999997</v>
      </c>
      <c r="M87" s="756">
        <v>4386.982</v>
      </c>
      <c r="N87" s="757">
        <f>SUM(O87:P87)</f>
        <v>66997.158389000004</v>
      </c>
      <c r="O87" s="757">
        <v>2418.1768059999999</v>
      </c>
      <c r="P87" s="756">
        <v>64578.981583000001</v>
      </c>
      <c r="Q87" s="753">
        <v>0</v>
      </c>
      <c r="R87" s="753">
        <v>0</v>
      </c>
      <c r="S87" s="753">
        <v>0</v>
      </c>
      <c r="T87" s="725"/>
    </row>
    <row r="88" spans="1:23" s="299" customFormat="1" ht="20.100000000000001" customHeight="1">
      <c r="A88" s="754" t="s">
        <v>338</v>
      </c>
      <c r="B88" s="755" t="s">
        <v>413</v>
      </c>
      <c r="C88" s="753">
        <v>0</v>
      </c>
      <c r="D88" s="753">
        <v>0</v>
      </c>
      <c r="E88" s="753">
        <v>0</v>
      </c>
      <c r="F88" s="753">
        <v>0</v>
      </c>
      <c r="G88" s="757">
        <f>+H88+K88</f>
        <v>427.75749999999999</v>
      </c>
      <c r="H88" s="756">
        <f t="shared" si="16"/>
        <v>174.37899999999999</v>
      </c>
      <c r="I88" s="756">
        <v>174.37899999999999</v>
      </c>
      <c r="J88" s="756"/>
      <c r="K88" s="757">
        <f>+L88+M88+N88</f>
        <v>253.3785</v>
      </c>
      <c r="L88" s="757">
        <v>253.3785</v>
      </c>
      <c r="M88" s="756"/>
      <c r="N88" s="757">
        <f t="shared" ref="N88:N93" si="17">SUM(O88:P88)</f>
        <v>0</v>
      </c>
      <c r="O88" s="757"/>
      <c r="P88" s="756"/>
      <c r="Q88" s="753">
        <v>0</v>
      </c>
      <c r="R88" s="753">
        <v>0</v>
      </c>
      <c r="S88" s="753">
        <v>0</v>
      </c>
      <c r="T88" s="725"/>
    </row>
    <row r="89" spans="1:23" s="302" customFormat="1" ht="20.100000000000001" customHeight="1">
      <c r="A89" s="773" t="s">
        <v>340</v>
      </c>
      <c r="B89" s="777" t="s">
        <v>414</v>
      </c>
      <c r="C89" s="753">
        <v>0</v>
      </c>
      <c r="D89" s="753">
        <v>0</v>
      </c>
      <c r="E89" s="753">
        <v>0</v>
      </c>
      <c r="F89" s="753">
        <v>0</v>
      </c>
      <c r="G89" s="756">
        <f>+H89+K89</f>
        <v>43.848316999999994</v>
      </c>
      <c r="H89" s="756">
        <f t="shared" si="16"/>
        <v>43.243316999999998</v>
      </c>
      <c r="I89" s="756">
        <v>43.243316999999998</v>
      </c>
      <c r="J89" s="756"/>
      <c r="K89" s="756">
        <f>+L89+M89+N89</f>
        <v>0.60499999999999998</v>
      </c>
      <c r="L89" s="756">
        <v>0.60499999999999998</v>
      </c>
      <c r="M89" s="756"/>
      <c r="N89" s="756">
        <f t="shared" si="17"/>
        <v>0</v>
      </c>
      <c r="O89" s="756"/>
      <c r="P89" s="756"/>
      <c r="Q89" s="753">
        <v>0</v>
      </c>
      <c r="R89" s="753">
        <v>0</v>
      </c>
      <c r="S89" s="753">
        <v>0</v>
      </c>
      <c r="T89" s="725"/>
    </row>
    <row r="90" spans="1:23" s="299" customFormat="1" ht="20.100000000000001" customHeight="1">
      <c r="A90" s="754" t="s">
        <v>344</v>
      </c>
      <c r="B90" s="778" t="s">
        <v>415</v>
      </c>
      <c r="C90" s="753">
        <v>0</v>
      </c>
      <c r="D90" s="753">
        <v>0</v>
      </c>
      <c r="E90" s="753">
        <v>0</v>
      </c>
      <c r="F90" s="753">
        <v>0</v>
      </c>
      <c r="G90" s="757">
        <f>+H90+K90+N90</f>
        <v>10.435</v>
      </c>
      <c r="H90" s="756">
        <f t="shared" si="16"/>
        <v>10.435</v>
      </c>
      <c r="I90" s="756">
        <v>10.435</v>
      </c>
      <c r="J90" s="756"/>
      <c r="K90" s="779">
        <f t="shared" ref="K90:K94" si="18">+L90+M90</f>
        <v>0</v>
      </c>
      <c r="L90" s="779"/>
      <c r="M90" s="780"/>
      <c r="N90" s="779">
        <f>SUM(O90:P90)</f>
        <v>0</v>
      </c>
      <c r="O90" s="757"/>
      <c r="P90" s="756"/>
      <c r="Q90" s="753">
        <v>0</v>
      </c>
      <c r="R90" s="753">
        <v>0</v>
      </c>
      <c r="S90" s="753">
        <v>0</v>
      </c>
      <c r="T90" s="725"/>
    </row>
    <row r="91" spans="1:23" s="299" customFormat="1" ht="20.100000000000001" customHeight="1">
      <c r="A91" s="754" t="s">
        <v>348</v>
      </c>
      <c r="B91" s="778" t="s">
        <v>416</v>
      </c>
      <c r="C91" s="753">
        <v>0</v>
      </c>
      <c r="D91" s="753">
        <v>0</v>
      </c>
      <c r="E91" s="753">
        <v>0</v>
      </c>
      <c r="F91" s="753">
        <v>0</v>
      </c>
      <c r="G91" s="757">
        <f>+H91+K91+N91</f>
        <v>1575.05898</v>
      </c>
      <c r="H91" s="756">
        <f t="shared" si="16"/>
        <v>1575.05898</v>
      </c>
      <c r="I91" s="756">
        <v>1575.05898</v>
      </c>
      <c r="J91" s="756"/>
      <c r="K91" s="779">
        <f t="shared" si="18"/>
        <v>0</v>
      </c>
      <c r="L91" s="779"/>
      <c r="M91" s="780"/>
      <c r="N91" s="779">
        <f t="shared" si="17"/>
        <v>0</v>
      </c>
      <c r="O91" s="757"/>
      <c r="P91" s="756"/>
      <c r="Q91" s="753">
        <v>0</v>
      </c>
      <c r="R91" s="753">
        <v>0</v>
      </c>
      <c r="S91" s="753">
        <v>0</v>
      </c>
      <c r="T91" s="725"/>
    </row>
    <row r="92" spans="1:23" s="299" customFormat="1" ht="20.100000000000001" customHeight="1">
      <c r="A92" s="754" t="s">
        <v>350</v>
      </c>
      <c r="B92" s="778" t="s">
        <v>417</v>
      </c>
      <c r="C92" s="753">
        <v>0</v>
      </c>
      <c r="D92" s="753">
        <v>0</v>
      </c>
      <c r="E92" s="753">
        <v>0</v>
      </c>
      <c r="F92" s="753">
        <v>0</v>
      </c>
      <c r="G92" s="757">
        <f>+H92+K92</f>
        <v>16.635999999999999</v>
      </c>
      <c r="H92" s="756">
        <f t="shared" si="16"/>
        <v>0</v>
      </c>
      <c r="I92" s="756"/>
      <c r="J92" s="756"/>
      <c r="K92" s="757">
        <f t="shared" si="18"/>
        <v>16.635999999999999</v>
      </c>
      <c r="L92" s="757">
        <v>16.635999999999999</v>
      </c>
      <c r="M92" s="756"/>
      <c r="N92" s="779">
        <f t="shared" si="17"/>
        <v>0</v>
      </c>
      <c r="O92" s="757"/>
      <c r="P92" s="756"/>
      <c r="Q92" s="753">
        <v>0</v>
      </c>
      <c r="R92" s="753">
        <v>0</v>
      </c>
      <c r="S92" s="753">
        <v>0</v>
      </c>
      <c r="T92" s="725"/>
    </row>
    <row r="93" spans="1:23" s="299" customFormat="1" ht="20.100000000000001" customHeight="1">
      <c r="A93" s="754" t="s">
        <v>352</v>
      </c>
      <c r="B93" s="778" t="s">
        <v>418</v>
      </c>
      <c r="C93" s="753">
        <v>0</v>
      </c>
      <c r="D93" s="753">
        <v>0</v>
      </c>
      <c r="E93" s="753">
        <v>0</v>
      </c>
      <c r="F93" s="753">
        <v>0</v>
      </c>
      <c r="G93" s="757">
        <f>+H93+K93</f>
        <v>34.805999999999997</v>
      </c>
      <c r="H93" s="756">
        <f t="shared" si="16"/>
        <v>0</v>
      </c>
      <c r="I93" s="756"/>
      <c r="J93" s="756"/>
      <c r="K93" s="757">
        <f t="shared" si="18"/>
        <v>34.805999999999997</v>
      </c>
      <c r="L93" s="757">
        <v>34.805999999999997</v>
      </c>
      <c r="M93" s="756"/>
      <c r="N93" s="779">
        <f t="shared" si="17"/>
        <v>0</v>
      </c>
      <c r="O93" s="757"/>
      <c r="P93" s="756"/>
      <c r="Q93" s="753">
        <v>0</v>
      </c>
      <c r="R93" s="753">
        <v>0</v>
      </c>
      <c r="S93" s="753">
        <v>0</v>
      </c>
      <c r="T93" s="725"/>
    </row>
    <row r="94" spans="1:23" s="302" customFormat="1" ht="20.100000000000001" customHeight="1">
      <c r="A94" s="773">
        <v>2</v>
      </c>
      <c r="B94" s="774" t="s">
        <v>419</v>
      </c>
      <c r="C94" s="775">
        <v>507420</v>
      </c>
      <c r="D94" s="781">
        <v>507420</v>
      </c>
      <c r="E94" s="781">
        <v>507420</v>
      </c>
      <c r="F94" s="753">
        <v>0</v>
      </c>
      <c r="G94" s="756">
        <f>H94+K94</f>
        <v>723040.85893299989</v>
      </c>
      <c r="H94" s="756">
        <f>SUM(I94:J94)</f>
        <v>723040.85893299989</v>
      </c>
      <c r="I94" s="756">
        <f>+I95</f>
        <v>0</v>
      </c>
      <c r="J94" s="756">
        <f>185340.801093+J95</f>
        <v>723040.85893299989</v>
      </c>
      <c r="K94" s="756">
        <f t="shared" si="18"/>
        <v>0</v>
      </c>
      <c r="L94" s="756"/>
      <c r="M94" s="756"/>
      <c r="N94" s="756">
        <f>+O94+P94</f>
        <v>0</v>
      </c>
      <c r="O94" s="756"/>
      <c r="P94" s="756"/>
      <c r="Q94" s="757">
        <f t="shared" si="11"/>
        <v>142.49356724863031</v>
      </c>
      <c r="R94" s="757">
        <f t="shared" si="12"/>
        <v>142.49356724863031</v>
      </c>
      <c r="S94" s="753">
        <v>0</v>
      </c>
      <c r="T94" s="725" t="e">
        <f>+G94/"#REF!*100"</f>
        <v>#VALUE!</v>
      </c>
      <c r="U94" s="416">
        <f>+J94+H95</f>
        <v>1260740.9167729998</v>
      </c>
    </row>
    <row r="95" spans="1:23" s="116" customFormat="1" ht="20.100000000000001" customHeight="1">
      <c r="A95" s="773"/>
      <c r="B95" s="783" t="s">
        <v>1444</v>
      </c>
      <c r="C95" s="784"/>
      <c r="D95" s="785"/>
      <c r="E95" s="753">
        <v>0</v>
      </c>
      <c r="F95" s="753"/>
      <c r="G95" s="762">
        <f>+H95</f>
        <v>537700.05783999991</v>
      </c>
      <c r="H95" s="762">
        <f>SUM(I95:J95)</f>
        <v>537700.05783999991</v>
      </c>
      <c r="I95" s="762"/>
      <c r="J95" s="762">
        <f>24307.095858+143489.177159+3023.028+366880.756823</f>
        <v>537700.05783999991</v>
      </c>
      <c r="K95" s="782">
        <v>0</v>
      </c>
      <c r="L95" s="762"/>
      <c r="M95" s="762"/>
      <c r="N95" s="762"/>
      <c r="O95" s="762"/>
      <c r="P95" s="762"/>
      <c r="Q95" s="753">
        <v>0</v>
      </c>
      <c r="R95" s="753">
        <v>0</v>
      </c>
      <c r="S95" s="753">
        <v>0</v>
      </c>
      <c r="T95" s="729"/>
    </row>
    <row r="96" spans="1:23" ht="15" hidden="1" customHeight="1">
      <c r="A96" s="748" t="s">
        <v>77</v>
      </c>
      <c r="B96" s="749" t="s">
        <v>420</v>
      </c>
      <c r="C96" s="768">
        <f>+C97+C98</f>
        <v>0</v>
      </c>
      <c r="D96" s="768">
        <f>+D97+D98</f>
        <v>0</v>
      </c>
      <c r="E96" s="768"/>
      <c r="F96" s="753"/>
      <c r="G96" s="747">
        <f>H96+K96+N96</f>
        <v>0</v>
      </c>
      <c r="H96" s="751">
        <f>+H97+H98</f>
        <v>0</v>
      </c>
      <c r="I96" s="751">
        <f t="shared" ref="I96:O96" si="19">+I97+I98</f>
        <v>0</v>
      </c>
      <c r="J96" s="751">
        <f t="shared" si="19"/>
        <v>0</v>
      </c>
      <c r="K96" s="747">
        <f>+K97+K98</f>
        <v>0</v>
      </c>
      <c r="L96" s="747">
        <f t="shared" si="19"/>
        <v>0</v>
      </c>
      <c r="M96" s="751">
        <f t="shared" si="19"/>
        <v>0</v>
      </c>
      <c r="N96" s="747">
        <f t="shared" si="19"/>
        <v>0</v>
      </c>
      <c r="O96" s="747">
        <f t="shared" si="19"/>
        <v>0</v>
      </c>
      <c r="P96" s="751"/>
      <c r="Q96" s="753"/>
      <c r="R96" s="753">
        <v>0</v>
      </c>
      <c r="S96" s="753">
        <v>0</v>
      </c>
      <c r="T96" s="730" t="e">
        <f>+G96/"#REF!*100"</f>
        <v>#VALUE!</v>
      </c>
    </row>
    <row r="97" spans="1:23" ht="15" hidden="1" customHeight="1">
      <c r="A97" s="754">
        <v>1</v>
      </c>
      <c r="B97" s="755" t="s">
        <v>421</v>
      </c>
      <c r="C97" s="768">
        <v>0</v>
      </c>
      <c r="D97" s="768">
        <v>0</v>
      </c>
      <c r="E97" s="768"/>
      <c r="F97" s="753"/>
      <c r="G97" s="757">
        <f>H97+K97+N97</f>
        <v>0</v>
      </c>
      <c r="H97" s="756"/>
      <c r="I97" s="756"/>
      <c r="J97" s="756"/>
      <c r="K97" s="757"/>
      <c r="L97" s="757"/>
      <c r="M97" s="756"/>
      <c r="N97" s="757"/>
      <c r="O97" s="757"/>
      <c r="P97" s="756"/>
      <c r="Q97" s="753"/>
      <c r="R97" s="753">
        <v>0</v>
      </c>
      <c r="S97" s="753">
        <v>0</v>
      </c>
      <c r="T97" s="730" t="e">
        <f>+G97/"#REF!*100"</f>
        <v>#VALUE!</v>
      </c>
      <c r="U97" s="105">
        <v>59416</v>
      </c>
    </row>
    <row r="98" spans="1:23" ht="15.75" hidden="1" customHeight="1">
      <c r="A98" s="754">
        <v>2</v>
      </c>
      <c r="B98" s="755" t="s">
        <v>422</v>
      </c>
      <c r="C98" s="768">
        <f>+C99+C100</f>
        <v>0</v>
      </c>
      <c r="D98" s="768">
        <f>+D99+D100</f>
        <v>0</v>
      </c>
      <c r="E98" s="768"/>
      <c r="F98" s="753"/>
      <c r="G98" s="757">
        <f>H98+K98+N98</f>
        <v>0</v>
      </c>
      <c r="H98" s="756">
        <f>+H99+H100</f>
        <v>0</v>
      </c>
      <c r="I98" s="756"/>
      <c r="J98" s="756"/>
      <c r="K98" s="756">
        <f>+K99+K100</f>
        <v>0</v>
      </c>
      <c r="L98" s="757"/>
      <c r="M98" s="756"/>
      <c r="N98" s="756">
        <f>+N99+N100</f>
        <v>0</v>
      </c>
      <c r="O98" s="757"/>
      <c r="P98" s="756"/>
      <c r="Q98" s="753"/>
      <c r="R98" s="753">
        <v>0</v>
      </c>
      <c r="S98" s="753">
        <v>0</v>
      </c>
      <c r="T98" s="730"/>
      <c r="U98" s="105">
        <v>305464</v>
      </c>
    </row>
    <row r="99" spans="1:23" ht="15.75" hidden="1" customHeight="1">
      <c r="A99" s="754" t="s">
        <v>372</v>
      </c>
      <c r="B99" s="755" t="s">
        <v>423</v>
      </c>
      <c r="C99" s="768">
        <v>0</v>
      </c>
      <c r="D99" s="768">
        <v>0</v>
      </c>
      <c r="E99" s="768"/>
      <c r="F99" s="753"/>
      <c r="G99" s="757">
        <f>H99+K99+N99</f>
        <v>0</v>
      </c>
      <c r="H99" s="756"/>
      <c r="I99" s="756"/>
      <c r="J99" s="756"/>
      <c r="K99" s="757"/>
      <c r="L99" s="757"/>
      <c r="M99" s="756"/>
      <c r="N99" s="757"/>
      <c r="O99" s="757"/>
      <c r="P99" s="756"/>
      <c r="Q99" s="753"/>
      <c r="R99" s="753">
        <v>0</v>
      </c>
      <c r="S99" s="753">
        <v>0</v>
      </c>
      <c r="T99" s="310"/>
      <c r="U99" s="105">
        <v>329401</v>
      </c>
    </row>
    <row r="100" spans="1:23" ht="14.25" hidden="1" customHeight="1">
      <c r="A100" s="754" t="s">
        <v>374</v>
      </c>
      <c r="B100" s="755" t="s">
        <v>424</v>
      </c>
      <c r="C100" s="768">
        <v>0</v>
      </c>
      <c r="D100" s="768">
        <v>0</v>
      </c>
      <c r="E100" s="768"/>
      <c r="F100" s="753"/>
      <c r="G100" s="757"/>
      <c r="H100" s="756"/>
      <c r="I100" s="756"/>
      <c r="J100" s="756"/>
      <c r="K100" s="757"/>
      <c r="L100" s="757"/>
      <c r="M100" s="756"/>
      <c r="N100" s="757"/>
      <c r="O100" s="757"/>
      <c r="P100" s="756"/>
      <c r="Q100" s="753"/>
      <c r="R100" s="753">
        <v>0</v>
      </c>
      <c r="S100" s="753">
        <v>0</v>
      </c>
      <c r="T100" s="311"/>
      <c r="U100" s="105">
        <v>1066621.519964</v>
      </c>
      <c r="V100" s="106">
        <f>+H99-U100</f>
        <v>-1066621.519964</v>
      </c>
      <c r="W100" s="105">
        <f>+U99+U98</f>
        <v>634865</v>
      </c>
    </row>
    <row r="101" spans="1:23" s="118" customFormat="1" ht="20.100000000000001" customHeight="1">
      <c r="A101" s="748" t="s">
        <v>141</v>
      </c>
      <c r="B101" s="749" t="s">
        <v>1334</v>
      </c>
      <c r="C101" s="768">
        <v>0</v>
      </c>
      <c r="D101" s="768">
        <v>0</v>
      </c>
      <c r="E101" s="768"/>
      <c r="F101" s="753"/>
      <c r="G101" s="747">
        <f>H101+K101</f>
        <v>1076220.2512019998</v>
      </c>
      <c r="H101" s="751">
        <v>868431.32582499995</v>
      </c>
      <c r="I101" s="751"/>
      <c r="J101" s="751"/>
      <c r="K101" s="747">
        <v>207788.92537700001</v>
      </c>
      <c r="L101" s="747"/>
      <c r="M101" s="751"/>
      <c r="N101" s="747"/>
      <c r="O101" s="747"/>
      <c r="P101" s="751"/>
      <c r="Q101" s="753">
        <v>0</v>
      </c>
      <c r="R101" s="753">
        <v>0</v>
      </c>
      <c r="S101" s="753">
        <v>0</v>
      </c>
      <c r="T101" s="312"/>
    </row>
    <row r="102" spans="1:23" s="120" customFormat="1" ht="17.25" hidden="1" customHeight="1">
      <c r="A102" s="731"/>
      <c r="B102" s="732" t="s">
        <v>426</v>
      </c>
      <c r="C102" s="733">
        <f>+C12+C99</f>
        <v>7490070</v>
      </c>
      <c r="D102" s="734">
        <f>+D12+D96</f>
        <v>7333828</v>
      </c>
      <c r="E102" s="734"/>
      <c r="F102" s="734"/>
      <c r="G102" s="735">
        <f>+H102+K102</f>
        <v>8768990.330015</v>
      </c>
      <c r="H102" s="736">
        <f>H12+H96+H101</f>
        <v>4467642.6153239999</v>
      </c>
      <c r="I102" s="736">
        <f>+I96+I12</f>
        <v>0</v>
      </c>
      <c r="J102" s="736">
        <f>+J96+J12</f>
        <v>0</v>
      </c>
      <c r="K102" s="736">
        <f>K12+K96+K101</f>
        <v>4301347.7146910001</v>
      </c>
      <c r="L102" s="736">
        <f>+L96+L12</f>
        <v>0</v>
      </c>
      <c r="M102" s="736">
        <f>+M96+M12</f>
        <v>0</v>
      </c>
      <c r="N102" s="736">
        <f>N12+N96+N101</f>
        <v>973999.2712229999</v>
      </c>
      <c r="O102" s="735"/>
      <c r="P102" s="736"/>
      <c r="Q102" s="736"/>
      <c r="R102" s="832">
        <f>G102/C102*100</f>
        <v>117.07487820561089</v>
      </c>
      <c r="S102" s="735">
        <f>G102/D102*100</f>
        <v>119.56907538621032</v>
      </c>
      <c r="T102" s="121"/>
      <c r="U102" s="120">
        <v>976937</v>
      </c>
      <c r="V102" s="313">
        <f>+N102-U102</f>
        <v>-2937.7287770000985</v>
      </c>
    </row>
    <row r="103" spans="1:23" s="120" customFormat="1" ht="16.5" customHeight="1">
      <c r="A103" s="314"/>
      <c r="B103" s="315"/>
      <c r="C103" s="316"/>
      <c r="D103" s="317"/>
      <c r="E103" s="317"/>
      <c r="F103" s="317"/>
      <c r="G103" s="316"/>
      <c r="H103" s="318"/>
      <c r="I103" s="318"/>
      <c r="J103" s="318"/>
      <c r="K103" s="318"/>
      <c r="L103" s="318"/>
      <c r="M103" s="318"/>
      <c r="N103" s="318"/>
      <c r="O103" s="318"/>
      <c r="P103" s="318"/>
      <c r="Q103" s="318"/>
      <c r="R103" s="316"/>
      <c r="S103" s="316"/>
      <c r="T103" s="121"/>
    </row>
    <row r="104" spans="1:23" s="120" customFormat="1" ht="16.5" hidden="1">
      <c r="A104" s="319"/>
      <c r="B104" s="320"/>
      <c r="C104" s="1002"/>
      <c r="D104" s="1002"/>
      <c r="E104" s="1002"/>
      <c r="F104" s="1002"/>
      <c r="G104" s="1002"/>
      <c r="H104" s="1002"/>
      <c r="I104" s="321"/>
      <c r="J104" s="410"/>
      <c r="K104" s="1003"/>
      <c r="L104" s="1003"/>
      <c r="M104" s="1003"/>
      <c r="N104" s="1003"/>
      <c r="O104" s="1003"/>
      <c r="P104" s="1003"/>
      <c r="Q104" s="1003"/>
      <c r="R104" s="1003"/>
      <c r="S104" s="1003"/>
      <c r="T104" s="121"/>
      <c r="U104" s="120">
        <v>27908468835</v>
      </c>
    </row>
    <row r="105" spans="1:23" s="120" customFormat="1" ht="16.5" hidden="1">
      <c r="A105" s="319"/>
      <c r="B105" s="322"/>
      <c r="C105" s="1008"/>
      <c r="D105" s="1008"/>
      <c r="E105" s="1008"/>
      <c r="F105" s="1008"/>
      <c r="G105" s="1008"/>
      <c r="H105" s="1008"/>
      <c r="I105" s="321"/>
      <c r="J105" s="321"/>
      <c r="K105" s="1000"/>
      <c r="L105" s="1000"/>
      <c r="M105" s="1000"/>
      <c r="N105" s="1000"/>
      <c r="O105" s="1000"/>
      <c r="P105" s="1000"/>
      <c r="Q105" s="1000"/>
      <c r="R105" s="1000"/>
      <c r="S105" s="1000"/>
      <c r="T105" s="121"/>
    </row>
    <row r="106" spans="1:23" s="120" customFormat="1" ht="16.5" hidden="1">
      <c r="A106" s="319"/>
      <c r="B106" s="322"/>
      <c r="C106" s="323"/>
      <c r="D106" s="324"/>
      <c r="E106" s="324"/>
      <c r="F106" s="324"/>
      <c r="G106" s="323"/>
      <c r="H106" s="553"/>
      <c r="I106" s="410"/>
      <c r="J106" s="410"/>
      <c r="K106" s="1000"/>
      <c r="L106" s="1000"/>
      <c r="M106" s="1000"/>
      <c r="N106" s="1000"/>
      <c r="O106" s="1000"/>
      <c r="P106" s="1000"/>
      <c r="Q106" s="1000"/>
      <c r="R106" s="1000"/>
      <c r="S106" s="1000"/>
      <c r="T106" s="121"/>
    </row>
    <row r="107" spans="1:23" s="120" customFormat="1" ht="22.5" hidden="1" customHeight="1">
      <c r="A107" s="314"/>
      <c r="B107" s="315"/>
      <c r="C107" s="316"/>
      <c r="D107" s="317"/>
      <c r="E107" s="317"/>
      <c r="F107" s="317"/>
      <c r="G107" s="553">
        <f>H102-H107</f>
        <v>-3396727.7654210003</v>
      </c>
      <c r="H107" s="553">
        <v>7864370.3807450002</v>
      </c>
      <c r="I107" s="318"/>
      <c r="J107" s="410">
        <v>185340801093</v>
      </c>
      <c r="K107" s="318">
        <v>4308035.3378630001</v>
      </c>
      <c r="L107" s="318"/>
      <c r="M107" s="318"/>
      <c r="N107" s="318">
        <v>974297.27122300002</v>
      </c>
      <c r="O107" s="318"/>
      <c r="P107" s="318"/>
      <c r="Q107" s="318"/>
      <c r="R107" s="316"/>
      <c r="S107" s="316"/>
      <c r="T107" s="121"/>
    </row>
    <row r="108" spans="1:23" ht="16.5" hidden="1">
      <c r="B108" s="121"/>
      <c r="C108" s="128"/>
      <c r="D108" s="325">
        <v>50000</v>
      </c>
      <c r="E108" s="325"/>
      <c r="F108" s="325"/>
      <c r="G108" s="489">
        <f>H107+K107+N107</f>
        <v>13146702.989830999</v>
      </c>
      <c r="H108" s="326">
        <v>7864370.3807450002</v>
      </c>
      <c r="I108" s="327"/>
      <c r="J108" s="328"/>
      <c r="K108" s="488">
        <f>K102-K107</f>
        <v>-6687.6231720000505</v>
      </c>
      <c r="L108" s="121"/>
      <c r="M108" s="329"/>
      <c r="N108" s="488">
        <f>N102-N107</f>
        <v>-298.00000000011642</v>
      </c>
      <c r="O108" s="121"/>
      <c r="P108" s="329"/>
      <c r="Q108" s="329"/>
      <c r="R108" s="121"/>
      <c r="S108" s="121"/>
      <c r="T108" s="126"/>
      <c r="U108" s="106">
        <f>+K102-4082433</f>
        <v>218914.71469100006</v>
      </c>
    </row>
    <row r="109" spans="1:23" hidden="1">
      <c r="B109" s="125"/>
      <c r="C109" s="121"/>
      <c r="D109" s="126"/>
      <c r="E109" s="126"/>
      <c r="F109" s="126"/>
      <c r="G109" s="106">
        <f>G102-G108</f>
        <v>-4377712.6598159987</v>
      </c>
      <c r="H109" s="330">
        <f>+H107-H108</f>
        <v>0</v>
      </c>
      <c r="I109" s="331"/>
      <c r="J109" s="331"/>
      <c r="K109" s="127"/>
      <c r="L109" s="125"/>
      <c r="M109" s="332"/>
      <c r="N109" s="126"/>
      <c r="O109" s="125"/>
      <c r="P109" s="332"/>
      <c r="Q109" s="332"/>
      <c r="R109" s="125"/>
      <c r="S109" s="125"/>
    </row>
    <row r="110" spans="1:23" ht="15" hidden="1" customHeight="1">
      <c r="G110" s="119"/>
      <c r="H110" s="333">
        <f>+H102-H107</f>
        <v>-3396727.7654210003</v>
      </c>
      <c r="I110" s="333"/>
      <c r="J110" s="333"/>
      <c r="K110" s="126"/>
      <c r="L110" s="126"/>
      <c r="M110" s="334"/>
      <c r="N110" s="126"/>
      <c r="O110" s="126"/>
      <c r="P110" s="334"/>
      <c r="Q110" s="334"/>
      <c r="R110" s="126"/>
      <c r="S110" s="126"/>
    </row>
    <row r="111" spans="1:23" hidden="1">
      <c r="B111" s="105">
        <v>24410802252</v>
      </c>
      <c r="G111" s="335">
        <f>G109-H81</f>
        <v>-4380367.6598159987</v>
      </c>
      <c r="H111" s="333"/>
      <c r="U111" s="105">
        <v>12779306.801867999</v>
      </c>
    </row>
    <row r="112" spans="1:23" hidden="1">
      <c r="D112" s="129">
        <f>+D102+50000</f>
        <v>7383828</v>
      </c>
      <c r="G112" s="119">
        <f>'TH THU_61_342_50_31'!D8-H112</f>
        <v>14258679.493396001</v>
      </c>
      <c r="H112" s="336">
        <f>+'TH THU_61_342_50_31'!E8</f>
        <v>323276.280585</v>
      </c>
      <c r="N112" s="106"/>
      <c r="U112" s="106">
        <f>+G102-U111</f>
        <v>-4010316.4718529992</v>
      </c>
    </row>
    <row r="113" spans="1:23" hidden="1">
      <c r="G113" s="106">
        <f>G112-G102</f>
        <v>5489689.163381001</v>
      </c>
      <c r="M113" s="336"/>
      <c r="N113" s="106"/>
    </row>
    <row r="114" spans="1:23" hidden="1">
      <c r="H114" s="336"/>
      <c r="K114" s="106"/>
    </row>
    <row r="115" spans="1:23" hidden="1">
      <c r="H115" s="336"/>
    </row>
    <row r="116" spans="1:23" hidden="1">
      <c r="H116" s="336"/>
      <c r="K116" s="106"/>
    </row>
    <row r="117" spans="1:23" s="116" customFormat="1" hidden="1">
      <c r="A117" s="105"/>
      <c r="B117" s="105"/>
      <c r="C117" s="105"/>
      <c r="D117" s="129"/>
      <c r="E117" s="129"/>
      <c r="F117" s="129"/>
      <c r="G117" s="105"/>
      <c r="H117" s="336"/>
      <c r="K117" s="105"/>
      <c r="L117" s="105"/>
      <c r="N117" s="105"/>
      <c r="O117" s="105"/>
      <c r="R117" s="105"/>
      <c r="S117" s="105"/>
      <c r="T117" s="105"/>
      <c r="U117" s="105"/>
      <c r="V117" s="105"/>
      <c r="W117" s="105"/>
    </row>
    <row r="118" spans="1:23" hidden="1"/>
    <row r="119" spans="1:23" hidden="1"/>
    <row r="120" spans="1:23" hidden="1"/>
    <row r="121" spans="1:23" s="116" customFormat="1" hidden="1">
      <c r="A121" s="105"/>
      <c r="B121" s="106">
        <v>123456789</v>
      </c>
      <c r="C121" s="105"/>
      <c r="D121" s="129"/>
      <c r="E121" s="129"/>
      <c r="F121" s="129"/>
      <c r="G121" s="105"/>
      <c r="K121" s="105"/>
      <c r="L121" s="105"/>
      <c r="N121" s="105"/>
      <c r="O121" s="105"/>
      <c r="R121" s="105"/>
      <c r="S121" s="105"/>
      <c r="T121" s="105"/>
      <c r="U121" s="105"/>
      <c r="V121" s="105"/>
      <c r="W121" s="105"/>
    </row>
    <row r="122" spans="1:23" hidden="1"/>
    <row r="123" spans="1:23" hidden="1"/>
    <row r="124" spans="1:23" hidden="1"/>
    <row r="125" spans="1:23" hidden="1"/>
    <row r="126" spans="1:23" hidden="1"/>
    <row r="127" spans="1:23" hidden="1"/>
    <row r="128" spans="1:23" hidden="1"/>
    <row r="129" hidden="1"/>
    <row r="130" hidden="1"/>
    <row r="131" hidden="1"/>
    <row r="132" hidden="1"/>
    <row r="133" hidden="1"/>
    <row r="134" hidden="1"/>
  </sheetData>
  <sheetProtection selectLockedCells="1" selectUnlockedCells="1"/>
  <mergeCells count="16">
    <mergeCell ref="C105:H105"/>
    <mergeCell ref="K105:S105"/>
    <mergeCell ref="K106:S106"/>
    <mergeCell ref="N1:S1"/>
    <mergeCell ref="D8:D9"/>
    <mergeCell ref="E8:F8"/>
    <mergeCell ref="H8:K8"/>
    <mergeCell ref="C104:H104"/>
    <mergeCell ref="K104:S104"/>
    <mergeCell ref="G8:G9"/>
    <mergeCell ref="Q8:S8"/>
    <mergeCell ref="A4:S4"/>
    <mergeCell ref="A5:S5"/>
    <mergeCell ref="A8:A9"/>
    <mergeCell ref="B8:B9"/>
    <mergeCell ref="K7:S7"/>
  </mergeCells>
  <printOptions horizontalCentered="1"/>
  <pageMargins left="0.19685039370078741" right="0.19685039370078741" top="0.59055118110236227" bottom="0.59055118110236227" header="0" footer="0.23"/>
  <pageSetup paperSize="9" firstPageNumber="0" orientation="landscape" r:id="rId1"/>
  <headerFooter differentFirst="1" alignWithMargins="0">
    <oddFooter>&amp;C&amp;"Times New Roman,Regular"&amp;12&amp;P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138"/>
  <sheetViews>
    <sheetView topLeftCell="A4" zoomScale="90" zoomScaleNormal="90" workbookViewId="0">
      <pane xSplit="3" ySplit="3" topLeftCell="D7" activePane="bottomRight" state="frozen"/>
      <selection activeCell="A4" sqref="A4"/>
      <selection pane="topRight" activeCell="D4" sqref="D4"/>
      <selection pane="bottomLeft" activeCell="A7" sqref="A7"/>
      <selection pane="bottomRight" activeCell="H26" sqref="H26"/>
    </sheetView>
  </sheetViews>
  <sheetFormatPr defaultRowHeight="15.75"/>
  <cols>
    <col min="1" max="1" width="40.7109375" style="138" customWidth="1"/>
    <col min="2" max="3" width="13.28515625" style="138" customWidth="1"/>
    <col min="4" max="4" width="14.42578125" style="138" customWidth="1"/>
    <col min="5" max="5" width="12" style="138" customWidth="1"/>
    <col min="6" max="7" width="13" style="138" customWidth="1"/>
    <col min="8" max="8" width="13.42578125" style="138" customWidth="1"/>
    <col min="9" max="9" width="8.7109375" style="138" customWidth="1"/>
    <col min="10" max="10" width="9.7109375" style="139" customWidth="1"/>
    <col min="11" max="11" width="0" style="139" hidden="1" customWidth="1"/>
    <col min="12" max="12" width="16" style="139" customWidth="1"/>
    <col min="13" max="13" width="17" style="139" customWidth="1"/>
    <col min="14" max="14" width="14.42578125" style="139" customWidth="1"/>
    <col min="15" max="15" width="13.28515625" style="139" customWidth="1"/>
    <col min="16" max="16384" width="9.140625" style="139"/>
  </cols>
  <sheetData>
    <row r="1" spans="1:15" ht="21" customHeight="1">
      <c r="A1" s="138" t="s">
        <v>36</v>
      </c>
      <c r="H1" s="411"/>
      <c r="I1" s="411"/>
      <c r="J1" s="554" t="s">
        <v>739</v>
      </c>
      <c r="K1" s="140"/>
      <c r="L1" s="142">
        <v>14244945.773980999</v>
      </c>
      <c r="M1" s="142">
        <v>8530937.6147980001</v>
      </c>
      <c r="N1" s="142">
        <f>+M2-M1</f>
        <v>21016.874656999484</v>
      </c>
      <c r="O1" s="142">
        <f>+F8-M1</f>
        <v>337010</v>
      </c>
    </row>
    <row r="2" spans="1:15" ht="24" customHeight="1">
      <c r="A2" s="1021" t="s">
        <v>177</v>
      </c>
      <c r="B2" s="1021"/>
      <c r="C2" s="1021"/>
      <c r="D2" s="1021"/>
      <c r="E2" s="1021"/>
      <c r="F2" s="1021"/>
      <c r="G2" s="1021"/>
      <c r="H2" s="1021"/>
      <c r="I2" s="1021"/>
      <c r="J2" s="1021"/>
      <c r="K2" s="141"/>
      <c r="L2" s="486">
        <f>D8-L1</f>
        <v>337010.00000000186</v>
      </c>
      <c r="M2" s="139">
        <v>8551954.4894549996</v>
      </c>
      <c r="N2" s="139">
        <v>3214</v>
      </c>
    </row>
    <row r="3" spans="1:15" ht="22.5" customHeight="1">
      <c r="I3" s="138" t="s">
        <v>178</v>
      </c>
      <c r="J3" s="140"/>
      <c r="K3" s="140"/>
      <c r="M3" s="142">
        <f>+F8-M1</f>
        <v>337010</v>
      </c>
      <c r="N3" s="142">
        <f>+N1+N2</f>
        <v>24230.874656999484</v>
      </c>
    </row>
    <row r="4" spans="1:15">
      <c r="A4" s="143"/>
      <c r="B4" s="1022" t="s">
        <v>94</v>
      </c>
      <c r="C4" s="1022"/>
      <c r="D4" s="144" t="s">
        <v>95</v>
      </c>
      <c r="E4" s="1022" t="s">
        <v>179</v>
      </c>
      <c r="F4" s="1022"/>
      <c r="G4" s="1022"/>
      <c r="H4" s="1022"/>
      <c r="I4" s="1022" t="s">
        <v>96</v>
      </c>
      <c r="J4" s="1022"/>
      <c r="K4" s="145"/>
      <c r="L4" s="139">
        <v>1695</v>
      </c>
    </row>
    <row r="5" spans="1:15">
      <c r="A5" s="146" t="s">
        <v>144</v>
      </c>
      <c r="B5" s="147" t="s">
        <v>99</v>
      </c>
      <c r="C5" s="147" t="s">
        <v>98</v>
      </c>
      <c r="D5" s="147" t="s">
        <v>180</v>
      </c>
      <c r="E5" s="147" t="s">
        <v>181</v>
      </c>
      <c r="F5" s="147" t="s">
        <v>181</v>
      </c>
      <c r="G5" s="147" t="s">
        <v>181</v>
      </c>
      <c r="H5" s="147" t="s">
        <v>181</v>
      </c>
      <c r="I5" s="147" t="s">
        <v>99</v>
      </c>
      <c r="J5" s="147" t="s">
        <v>98</v>
      </c>
      <c r="K5" s="147" t="s">
        <v>182</v>
      </c>
      <c r="L5" s="142">
        <f>+D10-L4</f>
        <v>4153371.2753659999</v>
      </c>
      <c r="M5" s="142">
        <f>+C8+50000</f>
        <v>4287000</v>
      </c>
    </row>
    <row r="6" spans="1:15">
      <c r="A6" s="148"/>
      <c r="B6" s="147" t="s">
        <v>101</v>
      </c>
      <c r="C6" s="147" t="s">
        <v>102</v>
      </c>
      <c r="D6" s="147">
        <v>2017</v>
      </c>
      <c r="E6" s="147" t="s">
        <v>99</v>
      </c>
      <c r="F6" s="147" t="s">
        <v>183</v>
      </c>
      <c r="G6" s="147" t="s">
        <v>184</v>
      </c>
      <c r="H6" s="147" t="s">
        <v>185</v>
      </c>
      <c r="I6" s="147" t="s">
        <v>101</v>
      </c>
      <c r="J6" s="147" t="s">
        <v>102</v>
      </c>
      <c r="K6" s="141">
        <v>2009</v>
      </c>
      <c r="L6" s="139">
        <v>4387998.603162</v>
      </c>
      <c r="M6" s="142">
        <f>G8-L6</f>
        <v>0</v>
      </c>
    </row>
    <row r="7" spans="1:15">
      <c r="A7" s="149" t="s">
        <v>186</v>
      </c>
      <c r="B7" s="149">
        <v>1</v>
      </c>
      <c r="C7" s="149">
        <v>2</v>
      </c>
      <c r="D7" s="150" t="s">
        <v>187</v>
      </c>
      <c r="E7" s="149">
        <v>4</v>
      </c>
      <c r="F7" s="149">
        <v>5</v>
      </c>
      <c r="G7" s="149">
        <v>6</v>
      </c>
      <c r="H7" s="149">
        <v>7</v>
      </c>
      <c r="I7" s="151" t="s">
        <v>188</v>
      </c>
      <c r="J7" s="152" t="s">
        <v>189</v>
      </c>
      <c r="K7" s="153"/>
      <c r="L7" s="139">
        <v>1002733.275436</v>
      </c>
      <c r="M7" s="142">
        <f>H8-L7</f>
        <v>0</v>
      </c>
    </row>
    <row r="8" spans="1:15" ht="18" customHeight="1">
      <c r="A8" s="154" t="s">
        <v>190</v>
      </c>
      <c r="B8" s="155">
        <f t="shared" ref="B8:H8" si="0">B9+B83+B90+B97+B98</f>
        <v>4237000</v>
      </c>
      <c r="C8" s="155">
        <f>C9+C83+C90+C97+C98</f>
        <v>4237000</v>
      </c>
      <c r="D8" s="155">
        <f>D9+D83+D90+D97+D98+D121</f>
        <v>14581955.773981001</v>
      </c>
      <c r="E8" s="155">
        <f>E9+E83+E90+E97+E98</f>
        <v>323276.280585</v>
      </c>
      <c r="F8" s="155">
        <f>F9+F83+F90+F97+F98</f>
        <v>8867947.6147980001</v>
      </c>
      <c r="G8" s="155">
        <f>G9+G83+G90+G97+G98+G121</f>
        <v>4387998.6031620009</v>
      </c>
      <c r="H8" s="155">
        <f t="shared" si="0"/>
        <v>1002733.2754360001</v>
      </c>
      <c r="I8" s="156">
        <f>+D8/B8*100</f>
        <v>344.15755897996229</v>
      </c>
      <c r="J8" s="156">
        <f>+D8/C8*100</f>
        <v>344.15755897996229</v>
      </c>
      <c r="K8" s="157"/>
      <c r="L8" s="139">
        <v>14123853.669837</v>
      </c>
      <c r="M8" s="142">
        <f>L8-D8</f>
        <v>-458102.10414400138</v>
      </c>
      <c r="N8" s="142">
        <f>+D9-D10</f>
        <v>42746.113675999455</v>
      </c>
    </row>
    <row r="9" spans="1:15" ht="18" customHeight="1">
      <c r="A9" s="158" t="s">
        <v>191</v>
      </c>
      <c r="B9" s="156">
        <f>B10+B70+B76+B77+B80</f>
        <v>4237000</v>
      </c>
      <c r="C9" s="156">
        <f>+C10+C70</f>
        <v>4237000</v>
      </c>
      <c r="D9" s="156">
        <f>D10+D70+D76+D77+D80</f>
        <v>4197812.3890419994</v>
      </c>
      <c r="E9" s="156">
        <f>E10+E70+E76+E77+E80</f>
        <v>320621.280585</v>
      </c>
      <c r="F9" s="156">
        <f>F10+F70+F76+F77+F80</f>
        <v>3179073.9173230003</v>
      </c>
      <c r="G9" s="156">
        <f>G10+G70+G76+G77+G80</f>
        <v>601010.79225900001</v>
      </c>
      <c r="H9" s="156">
        <f>H10+H70+H76+H77+H80</f>
        <v>97106.398875000014</v>
      </c>
      <c r="I9" s="156">
        <f>+D9/B9*100</f>
        <v>99.075109488836418</v>
      </c>
      <c r="J9" s="156">
        <f>+D9/C9*100</f>
        <v>99.075109488836418</v>
      </c>
      <c r="K9" s="159">
        <f>+(D10+D70)/(C10+C70)*100</f>
        <v>98.465182676303982</v>
      </c>
      <c r="L9" s="160"/>
      <c r="M9" s="160"/>
      <c r="N9" s="142">
        <f>+M13+N13</f>
        <v>3851348.5094099999</v>
      </c>
    </row>
    <row r="10" spans="1:15" s="162" customFormat="1" ht="18" customHeight="1">
      <c r="A10" s="158" t="s">
        <v>192</v>
      </c>
      <c r="B10" s="156">
        <f>B11+B20+B29+B36+B44+B45+B46+B47+B48+B51+B52+B53+B54+B55+B56+B57+B43+B63</f>
        <v>4117000</v>
      </c>
      <c r="C10" s="156">
        <f>+C11+C20+C29+C36+C43+C44+C45+C46+C47+C48+C51+C52+C54+C55+C56+C57</f>
        <v>4117000</v>
      </c>
      <c r="D10" s="156">
        <f>D11+D20+D29+D36+D44+D45+D46+D47+D48+D51+D52+D53+D54+D55+D56+D57+D43+D63</f>
        <v>4155066.2753659999</v>
      </c>
      <c r="E10" s="156">
        <f>E11+E20+E29+E36+E44+E45+E46+E47+E48+E51+E52+E53+E54+E55+E56+E57+E43+E63</f>
        <v>303717.76595600002</v>
      </c>
      <c r="F10" s="156">
        <f>F11+F20+F29+F36+F44+F45+F46+F47+F48+F51+F52+F53+F54+F55+F56+F57+F43+F63</f>
        <v>3178648.9173230003</v>
      </c>
      <c r="G10" s="156">
        <f>G11+G20+G29+G36+G44+G45+G46+G47+G48+G51+G52+G53+G54+G55+G56+G57+G43+G63</f>
        <v>595236.92425899999</v>
      </c>
      <c r="H10" s="156">
        <f>H11+H20+H29+H36+H44+H45+H46+H47+H48+H51+H52+H53+H54+H55+H56+H57+H43+H63</f>
        <v>77462.667828000005</v>
      </c>
      <c r="I10" s="156">
        <f>+D10/B10*100</f>
        <v>100.92461198362885</v>
      </c>
      <c r="J10" s="156">
        <f>+D10/C10*100</f>
        <v>100.92461198362885</v>
      </c>
      <c r="K10" s="159" t="e">
        <f>D10/"#REF!*100"</f>
        <v>#VALUE!</v>
      </c>
      <c r="L10" s="156">
        <f>+D10/32596.1389</f>
        <v>127.47111822394399</v>
      </c>
      <c r="M10" s="139" t="s">
        <v>193</v>
      </c>
      <c r="N10" s="161">
        <f>D10-E10+F70</f>
        <v>3851348.5094099999</v>
      </c>
    </row>
    <row r="11" spans="1:15" s="162" customFormat="1" ht="18" customHeight="1">
      <c r="A11" s="158" t="s">
        <v>194</v>
      </c>
      <c r="B11" s="156">
        <f>SUM(B12:B19)</f>
        <v>1429900</v>
      </c>
      <c r="C11" s="156">
        <f>SUM(C12:C19)</f>
        <v>1454000</v>
      </c>
      <c r="D11" s="156">
        <f>+E11+F11+G11+H11</f>
        <v>1186931.9601680001</v>
      </c>
      <c r="E11" s="156">
        <f>SUM(E12:E19)</f>
        <v>22.575662000000001</v>
      </c>
      <c r="F11" s="163">
        <f>SUM(F12:F19)</f>
        <v>1186909.384506</v>
      </c>
      <c r="G11" s="156">
        <f>SUM(G12:G19)</f>
        <v>0</v>
      </c>
      <c r="H11" s="156">
        <f>SUM(H12:H19)</f>
        <v>0</v>
      </c>
      <c r="I11" s="156">
        <f>+D11/B11*100</f>
        <v>83.008039734806644</v>
      </c>
      <c r="J11" s="156">
        <f>+D11/C11*100</f>
        <v>81.632184330674008</v>
      </c>
      <c r="K11" s="159" t="e">
        <f>D11/"#REF!*100"</f>
        <v>#VALUE!</v>
      </c>
      <c r="L11" s="164">
        <v>1237865.3</v>
      </c>
      <c r="M11" s="162" t="s">
        <v>195</v>
      </c>
      <c r="N11" s="165">
        <f>+F10+F70</f>
        <v>3178648.9173230003</v>
      </c>
    </row>
    <row r="12" spans="1:15" ht="30.75" customHeight="1">
      <c r="A12" s="166" t="s">
        <v>196</v>
      </c>
      <c r="B12" s="167">
        <v>1089100</v>
      </c>
      <c r="C12" s="167">
        <f>1113070</f>
        <v>1113070</v>
      </c>
      <c r="D12" s="167">
        <f>+E12+F12+G12+H12</f>
        <v>899855.58959800005</v>
      </c>
      <c r="E12" s="168">
        <v>0</v>
      </c>
      <c r="F12" s="167">
        <v>899855.58959800005</v>
      </c>
      <c r="G12" s="168">
        <v>0</v>
      </c>
      <c r="H12" s="168">
        <v>0</v>
      </c>
      <c r="I12" s="167">
        <f>+D12/B12*100</f>
        <v>82.623780148563043</v>
      </c>
      <c r="J12" s="167">
        <f>+D12/C12*100</f>
        <v>80.844474255707183</v>
      </c>
      <c r="K12" s="169" t="e">
        <f>D12/"#REF!*100"</f>
        <v>#VALUE!</v>
      </c>
      <c r="L12" s="170" t="s">
        <v>197</v>
      </c>
      <c r="M12" s="139" t="s">
        <v>198</v>
      </c>
      <c r="N12" s="139" t="s">
        <v>199</v>
      </c>
    </row>
    <row r="13" spans="1:15" ht="18" customHeight="1">
      <c r="A13" s="171" t="s">
        <v>200</v>
      </c>
      <c r="B13" s="168">
        <v>0</v>
      </c>
      <c r="C13" s="168">
        <v>0</v>
      </c>
      <c r="D13" s="167">
        <f>+E13+F13+G13+H13</f>
        <v>0</v>
      </c>
      <c r="E13" s="168">
        <v>0</v>
      </c>
      <c r="F13" s="168">
        <v>0</v>
      </c>
      <c r="G13" s="168">
        <v>0</v>
      </c>
      <c r="H13" s="168">
        <v>0</v>
      </c>
      <c r="I13" s="167"/>
      <c r="J13" s="167"/>
      <c r="K13" s="169"/>
      <c r="L13" s="172" t="e">
        <f>+G26+G28+G41+G42+G44+"#REF!+G48+#REF!+G63"</f>
        <v>#VALUE!</v>
      </c>
      <c r="M13" s="173">
        <f>D12+D13+D14+D21+D22+D23+D30+D31+D37+D38+D39+D46+D47-E38-E47</f>
        <v>2302786.5021419995</v>
      </c>
      <c r="N13" s="142">
        <f>+N10-M13</f>
        <v>1548562.0072680004</v>
      </c>
      <c r="O13" s="139">
        <v>1695.9966790000001</v>
      </c>
    </row>
    <row r="14" spans="1:15" ht="18" customHeight="1">
      <c r="A14" s="171" t="s">
        <v>201</v>
      </c>
      <c r="B14" s="167">
        <v>340000</v>
      </c>
      <c r="C14" s="167">
        <f>340000</f>
        <v>340000</v>
      </c>
      <c r="D14" s="167">
        <f t="shared" ref="D14:D62" si="1">+E14+F14+G14+H14</f>
        <v>285646.499862</v>
      </c>
      <c r="E14" s="168">
        <v>0</v>
      </c>
      <c r="F14" s="167">
        <v>285646.499862</v>
      </c>
      <c r="G14" s="168">
        <v>0</v>
      </c>
      <c r="H14" s="168">
        <v>0</v>
      </c>
      <c r="I14" s="167">
        <f t="shared" ref="I14:I74" si="2">+D14/B14*100</f>
        <v>84.01367642999999</v>
      </c>
      <c r="J14" s="167">
        <f>+D14/C14*100</f>
        <v>84.01367642999999</v>
      </c>
      <c r="K14" s="169" t="e">
        <f>D14/"#REF!*100"</f>
        <v>#VALUE!</v>
      </c>
      <c r="L14" s="174" t="e">
        <f>+H28+H41+H44+"#REF!+H48+#REF!+H57"</f>
        <v>#VALUE!</v>
      </c>
      <c r="M14" s="175" t="s">
        <v>202</v>
      </c>
      <c r="O14" s="142">
        <f>+N13+O13</f>
        <v>1550258.0039470005</v>
      </c>
    </row>
    <row r="15" spans="1:15" ht="18" customHeight="1">
      <c r="A15" s="171" t="s">
        <v>203</v>
      </c>
      <c r="B15" s="168">
        <v>0</v>
      </c>
      <c r="C15" s="168">
        <v>0</v>
      </c>
      <c r="D15" s="168">
        <f t="shared" si="1"/>
        <v>0</v>
      </c>
      <c r="E15" s="168">
        <v>0</v>
      </c>
      <c r="F15" s="168">
        <v>0</v>
      </c>
      <c r="G15" s="168">
        <v>0</v>
      </c>
      <c r="H15" s="168">
        <v>0</v>
      </c>
      <c r="I15" s="167"/>
      <c r="J15" s="167"/>
      <c r="K15" s="169"/>
      <c r="L15" s="176" t="e">
        <f>L13+L14</f>
        <v>#VALUE!</v>
      </c>
      <c r="M15" s="173">
        <f>F12+F13+F14+F21+F22+F23+F30+F31+F37+F38+F39+F46+F47</f>
        <v>2040166.4937679998</v>
      </c>
      <c r="N15" s="142">
        <f>+N11-M15</f>
        <v>1138482.4235550005</v>
      </c>
    </row>
    <row r="16" spans="1:15" ht="18" customHeight="1">
      <c r="A16" s="171" t="s">
        <v>204</v>
      </c>
      <c r="B16" s="167">
        <v>800</v>
      </c>
      <c r="C16" s="167">
        <f>800</f>
        <v>800</v>
      </c>
      <c r="D16" s="167">
        <f t="shared" si="1"/>
        <v>1392.25197</v>
      </c>
      <c r="E16" s="168">
        <v>0</v>
      </c>
      <c r="F16" s="177">
        <v>1392.25197</v>
      </c>
      <c r="G16" s="168">
        <v>0</v>
      </c>
      <c r="H16" s="168">
        <v>0</v>
      </c>
      <c r="I16" s="167">
        <f t="shared" si="2"/>
        <v>174.03149625</v>
      </c>
      <c r="J16" s="167">
        <f>+D16/C16*100</f>
        <v>174.03149625</v>
      </c>
      <c r="K16" s="169"/>
      <c r="M16" s="139">
        <v>2</v>
      </c>
      <c r="N16" s="142">
        <f>N13+M13</f>
        <v>3851348.5094099999</v>
      </c>
    </row>
    <row r="17" spans="1:14" ht="18" customHeight="1">
      <c r="A17" s="171" t="s">
        <v>205</v>
      </c>
      <c r="B17" s="168">
        <v>0</v>
      </c>
      <c r="C17" s="168">
        <v>0</v>
      </c>
      <c r="D17" s="167">
        <f t="shared" si="1"/>
        <v>0.5</v>
      </c>
      <c r="E17" s="168">
        <v>0</v>
      </c>
      <c r="F17" s="177">
        <v>0.5</v>
      </c>
      <c r="G17" s="168">
        <v>0</v>
      </c>
      <c r="H17" s="168">
        <v>0</v>
      </c>
      <c r="I17" s="167"/>
      <c r="J17" s="167"/>
      <c r="K17" s="169" t="e">
        <f>D17/"#REF!*100"</f>
        <v>#VALUE!</v>
      </c>
      <c r="M17" s="142">
        <f>F10+F70</f>
        <v>3178648.9173230003</v>
      </c>
    </row>
    <row r="18" spans="1:14" ht="18" customHeight="1">
      <c r="A18" s="171" t="s">
        <v>206</v>
      </c>
      <c r="B18" s="168">
        <v>0</v>
      </c>
      <c r="C18" s="168">
        <v>0</v>
      </c>
      <c r="D18" s="168">
        <f t="shared" si="1"/>
        <v>0</v>
      </c>
      <c r="E18" s="168">
        <v>0</v>
      </c>
      <c r="F18" s="168">
        <v>0</v>
      </c>
      <c r="G18" s="168">
        <v>0</v>
      </c>
      <c r="H18" s="168">
        <v>0</v>
      </c>
      <c r="I18" s="167"/>
      <c r="J18" s="167"/>
      <c r="K18" s="169"/>
      <c r="L18" s="139">
        <v>2</v>
      </c>
      <c r="M18" s="139">
        <v>2302786.502142</v>
      </c>
    </row>
    <row r="19" spans="1:14" ht="18" customHeight="1">
      <c r="A19" s="171" t="s">
        <v>207</v>
      </c>
      <c r="B19" s="168">
        <v>0</v>
      </c>
      <c r="C19" s="167">
        <f>130</f>
        <v>130</v>
      </c>
      <c r="D19" s="167">
        <f>+E19+F19+G19+H19</f>
        <v>37.118738</v>
      </c>
      <c r="E19" s="167">
        <v>22.575662000000001</v>
      </c>
      <c r="F19" s="177">
        <v>14.543075999999999</v>
      </c>
      <c r="G19" s="168">
        <v>0</v>
      </c>
      <c r="H19" s="168">
        <v>0</v>
      </c>
      <c r="I19" s="167"/>
      <c r="J19" s="167">
        <f>+D19/C19*100</f>
        <v>28.552875384615383</v>
      </c>
      <c r="K19" s="169" t="e">
        <f>D19/"#REF!*100"</f>
        <v>#VALUE!</v>
      </c>
      <c r="L19" s="142">
        <f>68.136845-E19</f>
        <v>45.561182999999993</v>
      </c>
      <c r="M19" s="142">
        <f>+M13-M18</f>
        <v>0</v>
      </c>
      <c r="N19" s="142">
        <f>+D19+D28</f>
        <v>8714.5908299999992</v>
      </c>
    </row>
    <row r="20" spans="1:14" s="162" customFormat="1" ht="18" customHeight="1">
      <c r="A20" s="158" t="s">
        <v>208</v>
      </c>
      <c r="B20" s="156">
        <f>SUM(B21:B28)</f>
        <v>144800</v>
      </c>
      <c r="C20" s="156">
        <f>SUM(C21:C28)</f>
        <v>145000</v>
      </c>
      <c r="D20" s="156">
        <f>+E20+F20+G20+H20</f>
        <v>139177.10179099999</v>
      </c>
      <c r="E20" s="156">
        <f>SUM(E21:E28)</f>
        <v>0.275395</v>
      </c>
      <c r="F20" s="163">
        <f>SUM(F21:F28)</f>
        <v>138885.222687</v>
      </c>
      <c r="G20" s="156">
        <f>SUM(G21:G28)</f>
        <v>290.16870900000004</v>
      </c>
      <c r="H20" s="156">
        <f>SUM(H21:H28)</f>
        <v>1.4350000000000001</v>
      </c>
      <c r="I20" s="167">
        <f t="shared" si="2"/>
        <v>96.116783004834247</v>
      </c>
      <c r="J20" s="156">
        <f>+D20/C20*100</f>
        <v>95.984208131724131</v>
      </c>
      <c r="K20" s="159" t="e">
        <f>D20/"#REF!*100"</f>
        <v>#VALUE!</v>
      </c>
      <c r="L20" s="162">
        <v>119581</v>
      </c>
      <c r="N20" s="165">
        <f>+N19-2494.236322</f>
        <v>6220.3545079999985</v>
      </c>
    </row>
    <row r="21" spans="1:14" ht="18" customHeight="1">
      <c r="A21" s="171" t="s">
        <v>209</v>
      </c>
      <c r="B21" s="167">
        <v>93850</v>
      </c>
      <c r="C21" s="167">
        <v>83700</v>
      </c>
      <c r="D21" s="167">
        <f>+E21+F21+G21+H21</f>
        <v>52250.077037000003</v>
      </c>
      <c r="E21" s="168">
        <v>0</v>
      </c>
      <c r="F21" s="167">
        <v>52170.996370000001</v>
      </c>
      <c r="G21" s="167">
        <v>79.080667000000005</v>
      </c>
      <c r="H21" s="168">
        <v>0</v>
      </c>
      <c r="I21" s="167">
        <f t="shared" si="2"/>
        <v>55.674029874267447</v>
      </c>
      <c r="J21" s="167">
        <f>+D21/C21*100</f>
        <v>62.425420593787337</v>
      </c>
      <c r="K21" s="169" t="e">
        <f>D21/"#REF!*100"</f>
        <v>#VALUE!</v>
      </c>
      <c r="M21" s="142">
        <f>1039936.36619-F12</f>
        <v>140080.77659199992</v>
      </c>
    </row>
    <row r="22" spans="1:14" ht="18" customHeight="1">
      <c r="A22" s="171" t="s">
        <v>210</v>
      </c>
      <c r="B22" s="167">
        <v>750</v>
      </c>
      <c r="C22" s="167">
        <v>800</v>
      </c>
      <c r="D22" s="167">
        <f t="shared" si="1"/>
        <v>813.54806699999995</v>
      </c>
      <c r="E22" s="168">
        <v>0</v>
      </c>
      <c r="F22" s="167">
        <v>813.54806699999995</v>
      </c>
      <c r="G22" s="167"/>
      <c r="H22" s="168">
        <v>0</v>
      </c>
      <c r="I22" s="167">
        <f t="shared" si="2"/>
        <v>108.47307559999999</v>
      </c>
      <c r="J22" s="167"/>
      <c r="K22" s="169" t="e">
        <f>D22/"#REF!*100"</f>
        <v>#VALUE!</v>
      </c>
      <c r="L22" s="142"/>
      <c r="M22" s="142"/>
      <c r="N22" s="142"/>
    </row>
    <row r="23" spans="1:14" ht="18" customHeight="1">
      <c r="A23" s="171" t="s">
        <v>211</v>
      </c>
      <c r="B23" s="167">
        <v>45000</v>
      </c>
      <c r="C23" s="167">
        <v>55000</v>
      </c>
      <c r="D23" s="167">
        <f t="shared" si="1"/>
        <v>49388.258091999996</v>
      </c>
      <c r="E23" s="168">
        <v>0</v>
      </c>
      <c r="F23" s="167">
        <v>49190.124527</v>
      </c>
      <c r="G23" s="167">
        <v>198.133565</v>
      </c>
      <c r="H23" s="168">
        <v>0</v>
      </c>
      <c r="I23" s="167">
        <f t="shared" si="2"/>
        <v>109.7516846488889</v>
      </c>
      <c r="J23" s="167">
        <f>+D23/C23*100</f>
        <v>89.796832894545446</v>
      </c>
      <c r="K23" s="169" t="e">
        <f>D23/"#REF!*100"</f>
        <v>#VALUE!</v>
      </c>
      <c r="M23" s="142">
        <f>295930.311213-F14</f>
        <v>10283.811350999982</v>
      </c>
    </row>
    <row r="24" spans="1:14" ht="18" customHeight="1">
      <c r="A24" s="171" t="s">
        <v>212</v>
      </c>
      <c r="B24" s="167"/>
      <c r="C24" s="167"/>
      <c r="D24" s="167">
        <f t="shared" si="1"/>
        <v>21289.202011000001</v>
      </c>
      <c r="E24" s="168">
        <v>0</v>
      </c>
      <c r="F24" s="177">
        <v>21289.202011000001</v>
      </c>
      <c r="G24" s="168">
        <v>0</v>
      </c>
      <c r="H24" s="168">
        <v>0</v>
      </c>
      <c r="I24" s="167"/>
      <c r="J24" s="167"/>
      <c r="K24" s="169"/>
      <c r="L24" s="139" t="s">
        <v>213</v>
      </c>
      <c r="M24" s="178">
        <f>+G12+G14+G21+G23+G30+G31+G37+G39</f>
        <v>262620.00837400003</v>
      </c>
      <c r="N24" s="142"/>
    </row>
    <row r="25" spans="1:14" ht="18" customHeight="1">
      <c r="A25" s="171" t="s">
        <v>214</v>
      </c>
      <c r="B25" s="167">
        <v>5200</v>
      </c>
      <c r="C25" s="167">
        <v>5200</v>
      </c>
      <c r="D25" s="167">
        <f t="shared" si="1"/>
        <v>6748.544492</v>
      </c>
      <c r="E25" s="168">
        <v>0</v>
      </c>
      <c r="F25" s="177">
        <v>6748.544492</v>
      </c>
      <c r="G25" s="168">
        <v>0</v>
      </c>
      <c r="H25" s="168">
        <v>0</v>
      </c>
      <c r="I25" s="167">
        <f t="shared" si="2"/>
        <v>129.77970176923077</v>
      </c>
      <c r="J25" s="167">
        <f>+D25/C25*100</f>
        <v>129.77970176923077</v>
      </c>
      <c r="K25" s="169" t="e">
        <f t="shared" ref="K25:K33" si="3">D25/"#REF!*100"</f>
        <v>#VALUE!</v>
      </c>
      <c r="L25" s="139" t="s">
        <v>215</v>
      </c>
      <c r="M25" s="179">
        <f>+G10-M24</f>
        <v>332616.91588499997</v>
      </c>
      <c r="N25" s="142">
        <f>+M25+H10</f>
        <v>410079.58371299994</v>
      </c>
    </row>
    <row r="26" spans="1:14" ht="18" customHeight="1">
      <c r="A26" s="171" t="s">
        <v>216</v>
      </c>
      <c r="B26" s="167"/>
      <c r="C26" s="167"/>
      <c r="D26" s="167">
        <f t="shared" si="1"/>
        <v>10</v>
      </c>
      <c r="E26" s="168">
        <v>0</v>
      </c>
      <c r="F26" s="177">
        <v>2</v>
      </c>
      <c r="G26" s="167">
        <v>8</v>
      </c>
      <c r="H26" s="168">
        <v>0</v>
      </c>
      <c r="I26" s="167"/>
      <c r="J26" s="167"/>
      <c r="K26" s="169" t="e">
        <f t="shared" si="3"/>
        <v>#VALUE!</v>
      </c>
      <c r="M26" s="142"/>
    </row>
    <row r="27" spans="1:14" ht="18" customHeight="1">
      <c r="A27" s="171" t="s">
        <v>217</v>
      </c>
      <c r="B27" s="167"/>
      <c r="C27" s="167"/>
      <c r="D27" s="167">
        <f t="shared" si="1"/>
        <v>0</v>
      </c>
      <c r="E27" s="168">
        <v>0</v>
      </c>
      <c r="F27" s="168">
        <v>0</v>
      </c>
      <c r="G27" s="168">
        <v>0</v>
      </c>
      <c r="H27" s="168">
        <v>0</v>
      </c>
      <c r="I27" s="167"/>
      <c r="J27" s="167"/>
      <c r="K27" s="169" t="e">
        <f t="shared" si="3"/>
        <v>#VALUE!</v>
      </c>
      <c r="N27" s="139">
        <f>462.645198+505.414243+1416.935629+0.598433</f>
        <v>2385.5935030000001</v>
      </c>
    </row>
    <row r="28" spans="1:14" ht="18" customHeight="1">
      <c r="A28" s="171" t="s">
        <v>218</v>
      </c>
      <c r="B28" s="167"/>
      <c r="C28" s="167">
        <v>300</v>
      </c>
      <c r="D28" s="167">
        <f t="shared" si="1"/>
        <v>8677.472092</v>
      </c>
      <c r="E28" s="167">
        <v>0.275395</v>
      </c>
      <c r="F28" s="177">
        <v>8670.8072200000006</v>
      </c>
      <c r="G28" s="167">
        <v>4.9544769999999998</v>
      </c>
      <c r="H28" s="167">
        <v>1.4350000000000001</v>
      </c>
      <c r="I28" s="167"/>
      <c r="J28" s="167">
        <f t="shared" ref="J28:J33" si="4">+D28/C28*100</f>
        <v>2892.4906973333332</v>
      </c>
      <c r="K28" s="169" t="e">
        <f t="shared" si="3"/>
        <v>#VALUE!</v>
      </c>
      <c r="N28" s="139">
        <v>2409.900032</v>
      </c>
    </row>
    <row r="29" spans="1:14" s="162" customFormat="1" ht="18" customHeight="1">
      <c r="A29" s="158" t="s">
        <v>219</v>
      </c>
      <c r="B29" s="156">
        <f>SUM(B30:B35)</f>
        <v>80000</v>
      </c>
      <c r="C29" s="156">
        <f>SUM(C30:C35)</f>
        <v>80000</v>
      </c>
      <c r="D29" s="156">
        <f>+E29+F29+G29+H29</f>
        <v>111325.40272900001</v>
      </c>
      <c r="E29" s="156">
        <f>SUM(E30:E35)</f>
        <v>16.474346000000001</v>
      </c>
      <c r="F29" s="163">
        <f>SUM(F30:F35)</f>
        <v>111308.92838300001</v>
      </c>
      <c r="G29" s="156">
        <f>SUM(G30:G35)</f>
        <v>0</v>
      </c>
      <c r="H29" s="156">
        <f>SUM(H30:H35)</f>
        <v>0</v>
      </c>
      <c r="I29" s="167">
        <f t="shared" si="2"/>
        <v>139.15675341125001</v>
      </c>
      <c r="J29" s="49">
        <f t="shared" si="4"/>
        <v>139.15675341125001</v>
      </c>
      <c r="K29" s="180" t="e">
        <f t="shared" si="3"/>
        <v>#VALUE!</v>
      </c>
      <c r="L29" s="181" t="s">
        <v>220</v>
      </c>
      <c r="N29" s="165">
        <f>+N28-F19</f>
        <v>2395.3569560000001</v>
      </c>
    </row>
    <row r="30" spans="1:14" ht="18" customHeight="1">
      <c r="A30" s="171" t="s">
        <v>221</v>
      </c>
      <c r="B30" s="167">
        <v>73950</v>
      </c>
      <c r="C30" s="167">
        <v>73950</v>
      </c>
      <c r="D30" s="167">
        <f t="shared" si="1"/>
        <v>94987.955895999999</v>
      </c>
      <c r="E30" s="168">
        <v>0</v>
      </c>
      <c r="F30" s="177">
        <v>94987.955895999999</v>
      </c>
      <c r="G30" s="168">
        <v>0</v>
      </c>
      <c r="H30" s="168">
        <v>0</v>
      </c>
      <c r="I30" s="167">
        <f t="shared" si="2"/>
        <v>128.44889235429343</v>
      </c>
      <c r="J30" s="167">
        <f t="shared" si="4"/>
        <v>128.44889235429343</v>
      </c>
      <c r="K30" s="169" t="e">
        <f t="shared" si="3"/>
        <v>#VALUE!</v>
      </c>
      <c r="N30" s="142">
        <f>+N29+G28+H28</f>
        <v>2401.7464330000003</v>
      </c>
    </row>
    <row r="31" spans="1:14" ht="18" customHeight="1">
      <c r="A31" s="171" t="s">
        <v>222</v>
      </c>
      <c r="B31" s="167">
        <v>6000</v>
      </c>
      <c r="C31" s="167">
        <v>6000</v>
      </c>
      <c r="D31" s="167">
        <f t="shared" si="1"/>
        <v>16090.880827000001</v>
      </c>
      <c r="E31" s="168">
        <v>0</v>
      </c>
      <c r="F31" s="177">
        <v>16090.880827000001</v>
      </c>
      <c r="G31" s="168">
        <v>0</v>
      </c>
      <c r="H31" s="168">
        <v>0</v>
      </c>
      <c r="I31" s="167">
        <f t="shared" si="2"/>
        <v>268.1813471166667</v>
      </c>
      <c r="J31" s="53">
        <f t="shared" si="4"/>
        <v>268.1813471166667</v>
      </c>
      <c r="K31" s="182" t="e">
        <f t="shared" si="3"/>
        <v>#VALUE!</v>
      </c>
    </row>
    <row r="32" spans="1:14" ht="18" customHeight="1">
      <c r="A32" s="171" t="s">
        <v>223</v>
      </c>
      <c r="B32" s="167"/>
      <c r="C32" s="167">
        <v>0</v>
      </c>
      <c r="D32" s="167">
        <f t="shared" si="1"/>
        <v>0</v>
      </c>
      <c r="E32" s="168">
        <v>0</v>
      </c>
      <c r="F32" s="177"/>
      <c r="G32" s="168">
        <v>0</v>
      </c>
      <c r="H32" s="168">
        <v>0</v>
      </c>
      <c r="I32" s="167"/>
      <c r="J32" s="167"/>
      <c r="K32" s="169" t="e">
        <f t="shared" si="3"/>
        <v>#VALUE!</v>
      </c>
    </row>
    <row r="33" spans="1:13" ht="18" customHeight="1">
      <c r="A33" s="171" t="s">
        <v>224</v>
      </c>
      <c r="B33" s="167">
        <v>50</v>
      </c>
      <c r="C33" s="167">
        <v>50</v>
      </c>
      <c r="D33" s="167">
        <f t="shared" si="1"/>
        <v>226.33727999999999</v>
      </c>
      <c r="E33" s="168">
        <v>0</v>
      </c>
      <c r="F33" s="177">
        <v>226.33727999999999</v>
      </c>
      <c r="G33" s="168">
        <v>0</v>
      </c>
      <c r="H33" s="168">
        <v>0</v>
      </c>
      <c r="I33" s="167">
        <f t="shared" si="2"/>
        <v>452.67455999999999</v>
      </c>
      <c r="J33" s="167">
        <f t="shared" si="4"/>
        <v>452.67455999999999</v>
      </c>
      <c r="K33" s="169" t="e">
        <f t="shared" si="3"/>
        <v>#VALUE!</v>
      </c>
    </row>
    <row r="34" spans="1:13" ht="18" customHeight="1">
      <c r="A34" s="171" t="s">
        <v>225</v>
      </c>
      <c r="B34" s="167">
        <v>0</v>
      </c>
      <c r="C34" s="167">
        <v>0</v>
      </c>
      <c r="D34" s="167">
        <f t="shared" si="1"/>
        <v>3.7543799999999998</v>
      </c>
      <c r="E34" s="168">
        <v>0</v>
      </c>
      <c r="F34" s="177">
        <v>3.7543799999999998</v>
      </c>
      <c r="G34" s="168">
        <v>0</v>
      </c>
      <c r="H34" s="168">
        <v>0</v>
      </c>
      <c r="I34" s="167"/>
      <c r="J34" s="167"/>
      <c r="K34" s="169"/>
      <c r="M34" s="142"/>
    </row>
    <row r="35" spans="1:13" ht="18" customHeight="1">
      <c r="A35" s="171" t="s">
        <v>226</v>
      </c>
      <c r="B35" s="167">
        <v>0</v>
      </c>
      <c r="C35" s="167">
        <v>0</v>
      </c>
      <c r="D35" s="167">
        <f t="shared" si="1"/>
        <v>16.474346000000001</v>
      </c>
      <c r="E35" s="167">
        <v>16.474346000000001</v>
      </c>
      <c r="F35" s="177"/>
      <c r="G35" s="168">
        <v>0</v>
      </c>
      <c r="H35" s="168">
        <v>0</v>
      </c>
      <c r="I35" s="167"/>
      <c r="J35" s="167"/>
      <c r="K35" s="169" t="e">
        <f>D35/"#REF!*100"</f>
        <v>#VALUE!</v>
      </c>
    </row>
    <row r="36" spans="1:13" s="162" customFormat="1" ht="18" customHeight="1">
      <c r="A36" s="158" t="s">
        <v>227</v>
      </c>
      <c r="B36" s="156">
        <f>SUM(B37:B42)</f>
        <v>589200</v>
      </c>
      <c r="C36" s="156">
        <f>SUM(C37:C42)</f>
        <v>600000</v>
      </c>
      <c r="D36" s="156">
        <f t="shared" si="1"/>
        <v>543050.16736399999</v>
      </c>
      <c r="E36" s="156">
        <f>SUM(E37:E42)</f>
        <v>1254.3092879999999</v>
      </c>
      <c r="F36" s="163">
        <f>SUM(F37:F42)</f>
        <v>278066.28537100001</v>
      </c>
      <c r="G36" s="156">
        <f>SUM(G37:G42)</f>
        <v>263666.68462700001</v>
      </c>
      <c r="H36" s="156">
        <f>SUM(H37:H42)</f>
        <v>62.888078</v>
      </c>
      <c r="I36" s="167">
        <f t="shared" si="2"/>
        <v>92.167373958587916</v>
      </c>
      <c r="J36" s="156">
        <f>+D36/C36*100</f>
        <v>90.508361227333339</v>
      </c>
      <c r="K36" s="159" t="e">
        <f>D36/"#REF!*100"</f>
        <v>#VALUE!</v>
      </c>
      <c r="L36" s="162">
        <v>543050.16736399999</v>
      </c>
      <c r="M36" s="162" t="s">
        <v>228</v>
      </c>
    </row>
    <row r="37" spans="1:13" ht="18" customHeight="1">
      <c r="A37" s="171" t="s">
        <v>229</v>
      </c>
      <c r="B37" s="167">
        <v>468300</v>
      </c>
      <c r="C37" s="167">
        <v>476864</v>
      </c>
      <c r="D37" s="167">
        <f t="shared" si="1"/>
        <v>379860.63873600005</v>
      </c>
      <c r="E37" s="167"/>
      <c r="F37" s="177">
        <v>160384.05144000001</v>
      </c>
      <c r="G37" s="167">
        <v>219476.58729600001</v>
      </c>
      <c r="H37" s="168">
        <v>0</v>
      </c>
      <c r="I37" s="167">
        <f t="shared" si="2"/>
        <v>81.114806477898796</v>
      </c>
      <c r="J37" s="167">
        <f>+D37/C37*100</f>
        <v>79.658065766340101</v>
      </c>
      <c r="K37" s="169" t="e">
        <f>D37/"#REF!*100"</f>
        <v>#VALUE!</v>
      </c>
      <c r="L37" s="142">
        <f>+D36-L36</f>
        <v>0</v>
      </c>
    </row>
    <row r="38" spans="1:13" ht="18" customHeight="1">
      <c r="A38" s="171" t="s">
        <v>230</v>
      </c>
      <c r="B38" s="167">
        <v>1800</v>
      </c>
      <c r="C38" s="167">
        <v>1596</v>
      </c>
      <c r="D38" s="167">
        <f t="shared" si="1"/>
        <v>2099.2060900000001</v>
      </c>
      <c r="E38" s="167">
        <v>944.40078500000004</v>
      </c>
      <c r="F38" s="177">
        <v>1154.8053050000001</v>
      </c>
      <c r="G38" s="167"/>
      <c r="H38" s="168">
        <v>0</v>
      </c>
      <c r="I38" s="167">
        <f t="shared" si="2"/>
        <v>116.62256055555555</v>
      </c>
      <c r="J38" s="167">
        <f>+D38/C38*100</f>
        <v>131.52920363408523</v>
      </c>
      <c r="K38" s="169" t="e">
        <f>D38/"#REF!*100"</f>
        <v>#VALUE!</v>
      </c>
    </row>
    <row r="39" spans="1:13" ht="18" customHeight="1">
      <c r="A39" s="171" t="s">
        <v>231</v>
      </c>
      <c r="B39" s="167">
        <v>115000</v>
      </c>
      <c r="C39" s="167">
        <v>99100</v>
      </c>
      <c r="D39" s="167">
        <f t="shared" si="1"/>
        <v>136261.107838</v>
      </c>
      <c r="E39" s="168">
        <v>0</v>
      </c>
      <c r="F39" s="177">
        <v>93394.900991999995</v>
      </c>
      <c r="G39" s="167">
        <v>42866.206846000001</v>
      </c>
      <c r="H39" s="168">
        <v>0</v>
      </c>
      <c r="I39" s="167">
        <f t="shared" si="2"/>
        <v>118.48791985913043</v>
      </c>
      <c r="J39" s="167">
        <f>+D39/C39*100</f>
        <v>137.4985951947528</v>
      </c>
      <c r="K39" s="169" t="e">
        <f>D39/"#REF!*100"</f>
        <v>#VALUE!</v>
      </c>
    </row>
    <row r="40" spans="1:13" ht="18" customHeight="1">
      <c r="A40" s="171" t="s">
        <v>232</v>
      </c>
      <c r="B40" s="167">
        <v>4100</v>
      </c>
      <c r="C40" s="167">
        <v>3710</v>
      </c>
      <c r="D40" s="167">
        <f t="shared" si="1"/>
        <v>4643.8727980000003</v>
      </c>
      <c r="E40" s="168">
        <v>0</v>
      </c>
      <c r="F40" s="177">
        <v>4643.1821749999999</v>
      </c>
      <c r="G40" s="167">
        <v>0.6906230000000001</v>
      </c>
      <c r="H40" s="168">
        <v>0</v>
      </c>
      <c r="I40" s="167">
        <f t="shared" si="2"/>
        <v>113.26519019512196</v>
      </c>
      <c r="J40" s="167">
        <f>+D40/C40*100</f>
        <v>125.17177353099731</v>
      </c>
      <c r="K40" s="169"/>
    </row>
    <row r="41" spans="1:13" ht="18" customHeight="1">
      <c r="A41" s="171" t="s">
        <v>233</v>
      </c>
      <c r="B41" s="167"/>
      <c r="C41" s="167">
        <v>0</v>
      </c>
      <c r="D41" s="167">
        <f t="shared" si="1"/>
        <v>174.55699999999999</v>
      </c>
      <c r="E41" s="168">
        <v>0</v>
      </c>
      <c r="F41" s="177">
        <v>13.5</v>
      </c>
      <c r="G41" s="167">
        <v>100.52</v>
      </c>
      <c r="H41" s="167">
        <v>60.536999999999999</v>
      </c>
      <c r="I41" s="167"/>
      <c r="J41" s="167"/>
      <c r="K41" s="169" t="e">
        <f>D41/"#REF!*100"</f>
        <v>#VALUE!</v>
      </c>
    </row>
    <row r="42" spans="1:13" ht="18" customHeight="1">
      <c r="A42" s="171" t="s">
        <v>234</v>
      </c>
      <c r="B42" s="167"/>
      <c r="C42" s="167">
        <v>18730</v>
      </c>
      <c r="D42" s="167">
        <f t="shared" si="1"/>
        <v>20010.784901999999</v>
      </c>
      <c r="E42" s="167">
        <v>309.908503</v>
      </c>
      <c r="F42" s="177">
        <v>18475.845459</v>
      </c>
      <c r="G42" s="167">
        <f>1222.451984+0.227878</f>
        <v>1222.679862</v>
      </c>
      <c r="H42" s="167">
        <v>2.3510779999999998</v>
      </c>
      <c r="I42" s="167"/>
      <c r="J42" s="167">
        <f t="shared" ref="J42:J47" si="5">+D42/C42*100</f>
        <v>106.83814683395623</v>
      </c>
      <c r="K42" s="169" t="e">
        <f>D42/"#REF!*100"</f>
        <v>#VALUE!</v>
      </c>
    </row>
    <row r="43" spans="1:13" s="162" customFormat="1" ht="18" customHeight="1">
      <c r="A43" s="158" t="s">
        <v>235</v>
      </c>
      <c r="B43" s="156">
        <v>150000</v>
      </c>
      <c r="C43" s="156">
        <v>150000</v>
      </c>
      <c r="D43" s="156">
        <f t="shared" si="1"/>
        <v>152533.77566499999</v>
      </c>
      <c r="E43" s="168">
        <v>0</v>
      </c>
      <c r="F43" s="163"/>
      <c r="G43" s="156">
        <v>135711.965367</v>
      </c>
      <c r="H43" s="156">
        <v>16821.810298</v>
      </c>
      <c r="I43" s="167">
        <f t="shared" si="2"/>
        <v>101.68918377666667</v>
      </c>
      <c r="J43" s="156">
        <f t="shared" si="5"/>
        <v>101.68918377666667</v>
      </c>
      <c r="K43" s="159"/>
      <c r="M43" s="165"/>
    </row>
    <row r="44" spans="1:13" s="162" customFormat="1" ht="18" customHeight="1">
      <c r="A44" s="158" t="s">
        <v>236</v>
      </c>
      <c r="B44" s="156">
        <v>7000</v>
      </c>
      <c r="C44" s="156">
        <v>7000</v>
      </c>
      <c r="D44" s="156">
        <f>+E44+F44+G44+H44</f>
        <v>10220.554547</v>
      </c>
      <c r="E44" s="168">
        <v>0</v>
      </c>
      <c r="F44" s="163">
        <v>532.47088099999996</v>
      </c>
      <c r="G44" s="156">
        <v>4628.7350260000003</v>
      </c>
      <c r="H44" s="156">
        <v>5059.3486400000002</v>
      </c>
      <c r="I44" s="167">
        <f t="shared" si="2"/>
        <v>146.0079221</v>
      </c>
      <c r="J44" s="156">
        <f t="shared" si="5"/>
        <v>146.0079221</v>
      </c>
      <c r="K44" s="159" t="e">
        <f>D44/"#REF!*100"</f>
        <v>#VALUE!</v>
      </c>
      <c r="L44" s="181">
        <v>10220.554547</v>
      </c>
      <c r="M44" s="165">
        <f>+L44-D44</f>
        <v>0</v>
      </c>
    </row>
    <row r="45" spans="1:13" s="162" customFormat="1" ht="18" customHeight="1">
      <c r="A45" s="158" t="s">
        <v>237</v>
      </c>
      <c r="B45" s="156">
        <v>3000</v>
      </c>
      <c r="C45" s="156">
        <v>3000</v>
      </c>
      <c r="D45" s="156">
        <f t="shared" si="1"/>
        <v>3878.4313689999999</v>
      </c>
      <c r="E45" s="168">
        <v>0</v>
      </c>
      <c r="F45" s="163">
        <v>12.63</v>
      </c>
      <c r="G45" s="156">
        <v>107.95024100000001</v>
      </c>
      <c r="H45" s="156">
        <v>3757.8511279999998</v>
      </c>
      <c r="I45" s="167">
        <f t="shared" si="2"/>
        <v>129.28104563333335</v>
      </c>
      <c r="J45" s="156">
        <f t="shared" si="5"/>
        <v>129.28104563333335</v>
      </c>
      <c r="K45" s="159"/>
      <c r="L45" s="181"/>
    </row>
    <row r="46" spans="1:13" s="162" customFormat="1" ht="18" customHeight="1">
      <c r="A46" s="158" t="s">
        <v>238</v>
      </c>
      <c r="B46" s="156">
        <v>300000</v>
      </c>
      <c r="C46" s="156">
        <v>286000</v>
      </c>
      <c r="D46" s="156">
        <f>+E46+F46+G46+H46</f>
        <v>265230.208545</v>
      </c>
      <c r="E46" s="168">
        <v>0</v>
      </c>
      <c r="F46" s="163">
        <v>265230.208545</v>
      </c>
      <c r="G46" s="156"/>
      <c r="H46" s="156"/>
      <c r="I46" s="167">
        <f t="shared" si="2"/>
        <v>88.410069515000004</v>
      </c>
      <c r="J46" s="156">
        <f t="shared" si="5"/>
        <v>92.737835155594411</v>
      </c>
      <c r="K46" s="159" t="e">
        <f>D46/"#REF!*100"</f>
        <v>#VALUE!</v>
      </c>
    </row>
    <row r="47" spans="1:13" s="162" customFormat="1" ht="18" customHeight="1">
      <c r="A47" s="183" t="s">
        <v>239</v>
      </c>
      <c r="B47" s="156">
        <v>270000</v>
      </c>
      <c r="C47" s="156">
        <v>270000</v>
      </c>
      <c r="D47" s="156">
        <f t="shared" si="1"/>
        <v>325932.60084700002</v>
      </c>
      <c r="E47" s="156">
        <v>204685.668508</v>
      </c>
      <c r="F47" s="163">
        <v>121246.93233900001</v>
      </c>
      <c r="G47" s="156"/>
      <c r="H47" s="156"/>
      <c r="I47" s="167">
        <f t="shared" si="2"/>
        <v>120.71577809148148</v>
      </c>
      <c r="J47" s="156">
        <f t="shared" si="5"/>
        <v>120.71577809148148</v>
      </c>
      <c r="K47" s="159"/>
    </row>
    <row r="48" spans="1:13" s="162" customFormat="1" ht="18" customHeight="1">
      <c r="A48" s="158" t="s">
        <v>240</v>
      </c>
      <c r="B48" s="156">
        <f>+B49+B50</f>
        <v>72000</v>
      </c>
      <c r="C48" s="156">
        <v>70000</v>
      </c>
      <c r="D48" s="156">
        <f>+E48+F48+G48+H48</f>
        <v>83061.398038000014</v>
      </c>
      <c r="E48" s="156">
        <f>+E49+E50</f>
        <v>20223.343832999999</v>
      </c>
      <c r="F48" s="163">
        <f>+F49+F50</f>
        <v>25847.564117999998</v>
      </c>
      <c r="G48" s="156">
        <f>+G49+G50</f>
        <v>12678.216612</v>
      </c>
      <c r="H48" s="156">
        <f>+H49+H50</f>
        <v>24312.273475000002</v>
      </c>
      <c r="I48" s="167">
        <f t="shared" si="2"/>
        <v>115.36305283055557</v>
      </c>
      <c r="J48" s="156">
        <f>+D48/C48*100</f>
        <v>118.65914005428573</v>
      </c>
      <c r="K48" s="159" t="e">
        <f>D48/"#REF!*100"</f>
        <v>#VALUE!</v>
      </c>
      <c r="L48" s="165">
        <f>+D48-50130</f>
        <v>32931.398038000014</v>
      </c>
    </row>
    <row r="49" spans="1:12" ht="18" customHeight="1">
      <c r="A49" s="171" t="s">
        <v>241</v>
      </c>
      <c r="B49" s="167">
        <v>16000</v>
      </c>
      <c r="C49" s="167" t="s">
        <v>158</v>
      </c>
      <c r="D49" s="167">
        <f>+E49+F49+G49+H49</f>
        <v>20427.843832999999</v>
      </c>
      <c r="E49" s="167">
        <v>20223.343832999999</v>
      </c>
      <c r="F49" s="177">
        <v>204.5</v>
      </c>
      <c r="G49" s="167"/>
      <c r="H49" s="167"/>
      <c r="I49" s="167">
        <f t="shared" si="2"/>
        <v>127.67402395625001</v>
      </c>
      <c r="J49" s="53"/>
      <c r="K49" s="169" t="e">
        <f>D49/"#REF!*100"</f>
        <v>#VALUE!</v>
      </c>
    </row>
    <row r="50" spans="1:12" ht="18" customHeight="1">
      <c r="A50" s="171" t="s">
        <v>242</v>
      </c>
      <c r="B50" s="167">
        <v>56000</v>
      </c>
      <c r="C50" s="167" t="s">
        <v>158</v>
      </c>
      <c r="D50" s="167">
        <f t="shared" si="1"/>
        <v>62633.554205</v>
      </c>
      <c r="E50" s="167"/>
      <c r="F50" s="177">
        <v>25643.064117999998</v>
      </c>
      <c r="G50" s="167">
        <v>12678.216612</v>
      </c>
      <c r="H50" s="167">
        <f>9324.33+14987.943475</f>
        <v>24312.273475000002</v>
      </c>
      <c r="I50" s="167">
        <f t="shared" si="2"/>
        <v>111.84563250892859</v>
      </c>
      <c r="J50" s="167"/>
      <c r="K50" s="169" t="e">
        <f>D50/"#REF!*100"</f>
        <v>#VALUE!</v>
      </c>
      <c r="L50" s="142"/>
    </row>
    <row r="51" spans="1:12" s="162" customFormat="1" ht="18" customHeight="1">
      <c r="A51" s="158" t="s">
        <v>243</v>
      </c>
      <c r="B51" s="156">
        <v>100000</v>
      </c>
      <c r="C51" s="156">
        <v>100000</v>
      </c>
      <c r="D51" s="156">
        <f t="shared" si="1"/>
        <v>338795.11958199996</v>
      </c>
      <c r="E51" s="156"/>
      <c r="F51" s="163">
        <v>186766.20176</v>
      </c>
      <c r="G51" s="156">
        <v>152028.91782199999</v>
      </c>
      <c r="H51" s="156"/>
      <c r="I51" s="167">
        <f t="shared" si="2"/>
        <v>338.79511958199993</v>
      </c>
      <c r="J51" s="156"/>
      <c r="K51" s="159"/>
      <c r="L51" s="165"/>
    </row>
    <row r="52" spans="1:12" s="162" customFormat="1" ht="18" customHeight="1">
      <c r="A52" s="158" t="s">
        <v>244</v>
      </c>
      <c r="B52" s="156">
        <v>100000</v>
      </c>
      <c r="C52" s="156">
        <v>100000</v>
      </c>
      <c r="D52" s="156">
        <f t="shared" si="1"/>
        <v>21941.696694000002</v>
      </c>
      <c r="E52" s="156"/>
      <c r="F52" s="163">
        <v>18429.237935000001</v>
      </c>
      <c r="G52" s="156">
        <v>3512.4587590000001</v>
      </c>
      <c r="H52" s="156"/>
      <c r="I52" s="167">
        <f t="shared" si="2"/>
        <v>21.941696694000001</v>
      </c>
      <c r="J52" s="156"/>
      <c r="K52" s="159"/>
      <c r="L52" s="165"/>
    </row>
    <row r="53" spans="1:12" s="162" customFormat="1" ht="30.75" customHeight="1">
      <c r="A53" s="184" t="s">
        <v>245</v>
      </c>
      <c r="B53" s="156"/>
      <c r="C53" s="156" t="s">
        <v>158</v>
      </c>
      <c r="D53" s="156">
        <f t="shared" si="1"/>
        <v>5144.2406899999996</v>
      </c>
      <c r="E53" s="156">
        <v>21.552</v>
      </c>
      <c r="F53" s="163">
        <v>5122.68869</v>
      </c>
      <c r="G53" s="156"/>
      <c r="H53" s="156"/>
      <c r="I53" s="167"/>
      <c r="J53" s="156"/>
      <c r="K53" s="159"/>
      <c r="L53" s="165"/>
    </row>
    <row r="54" spans="1:12" s="162" customFormat="1" ht="20.25" customHeight="1">
      <c r="A54" s="184" t="s">
        <v>246</v>
      </c>
      <c r="B54" s="156">
        <v>131100</v>
      </c>
      <c r="C54" s="156">
        <f>135000-C57</f>
        <v>115000</v>
      </c>
      <c r="D54" s="156">
        <f t="shared" si="1"/>
        <v>158292.421978</v>
      </c>
      <c r="E54" s="156">
        <v>77493.566923999999</v>
      </c>
      <c r="F54" s="163">
        <f>82417.902615-24230.874657</f>
        <v>58187.027957999999</v>
      </c>
      <c r="G54" s="156">
        <f>22611.563368+0.263728</f>
        <v>22611.827096000001</v>
      </c>
      <c r="H54" s="156"/>
      <c r="I54" s="167">
        <f t="shared" si="2"/>
        <v>120.74174063920671</v>
      </c>
      <c r="J54" s="156"/>
      <c r="K54" s="159"/>
      <c r="L54" s="165">
        <v>24230.874657</v>
      </c>
    </row>
    <row r="55" spans="1:12" s="162" customFormat="1" ht="29.25">
      <c r="A55" s="184" t="s">
        <v>247</v>
      </c>
      <c r="B55" s="156">
        <v>23000</v>
      </c>
      <c r="C55" s="156"/>
      <c r="D55" s="156">
        <f t="shared" si="1"/>
        <v>1357.83834</v>
      </c>
      <c r="E55" s="156"/>
      <c r="F55" s="163"/>
      <c r="G55" s="156"/>
      <c r="H55" s="156">
        <v>1357.83834</v>
      </c>
      <c r="I55" s="167">
        <f t="shared" si="2"/>
        <v>5.903644956521739</v>
      </c>
      <c r="J55" s="156"/>
      <c r="K55" s="159"/>
      <c r="L55" s="165"/>
    </row>
    <row r="56" spans="1:12" s="162" customFormat="1">
      <c r="A56" s="184" t="s">
        <v>248</v>
      </c>
      <c r="B56" s="156">
        <v>717000</v>
      </c>
      <c r="C56" s="156">
        <v>717000</v>
      </c>
      <c r="D56" s="156">
        <f>+E56+F56+G56+H56</f>
        <v>780591.41520499997</v>
      </c>
      <c r="E56" s="156"/>
      <c r="F56" s="163">
        <v>780591.41520499997</v>
      </c>
      <c r="G56" s="156"/>
      <c r="H56" s="156"/>
      <c r="I56" s="167">
        <f t="shared" si="2"/>
        <v>108.86909556555091</v>
      </c>
      <c r="J56" s="156"/>
      <c r="K56" s="159"/>
      <c r="L56" s="165" t="s">
        <v>658</v>
      </c>
    </row>
    <row r="57" spans="1:12" s="162" customFormat="1" ht="18" customHeight="1">
      <c r="A57" s="158" t="s">
        <v>249</v>
      </c>
      <c r="B57" s="156">
        <f>B58+B59+B60+B62</f>
        <v>0</v>
      </c>
      <c r="C57" s="156">
        <v>20000</v>
      </c>
      <c r="D57" s="156">
        <f>+E57+F57+G57+H57</f>
        <v>26089.222869000001</v>
      </c>
      <c r="E57" s="156">
        <f>SUM(E58:E62)-E61</f>
        <v>0</v>
      </c>
      <c r="F57" s="163">
        <f>SUM(F58:F62)-F61</f>
        <v>0</v>
      </c>
      <c r="G57" s="163">
        <f>SUM(G58:G62)-G61</f>
        <v>0</v>
      </c>
      <c r="H57" s="156">
        <f>H58+H59+H60+H62</f>
        <v>26089.222869000001</v>
      </c>
      <c r="I57" s="167"/>
      <c r="J57" s="156">
        <f>+D57/C57*100</f>
        <v>130.44611434499998</v>
      </c>
      <c r="K57" s="159" t="e">
        <f>D57/"#REF!*100"</f>
        <v>#VALUE!</v>
      </c>
    </row>
    <row r="58" spans="1:12" ht="18" customHeight="1">
      <c r="A58" s="171" t="s">
        <v>250</v>
      </c>
      <c r="B58" s="168">
        <v>0</v>
      </c>
      <c r="C58" s="168">
        <v>0</v>
      </c>
      <c r="D58" s="167">
        <f t="shared" si="1"/>
        <v>18</v>
      </c>
      <c r="E58" s="168">
        <v>0</v>
      </c>
      <c r="F58" s="168">
        <v>0</v>
      </c>
      <c r="G58" s="168">
        <v>0</v>
      </c>
      <c r="H58" s="167">
        <v>18</v>
      </c>
      <c r="I58" s="167"/>
      <c r="J58" s="167"/>
      <c r="K58" s="169" t="e">
        <f>D58/"#REF!*100"</f>
        <v>#VALUE!</v>
      </c>
    </row>
    <row r="59" spans="1:12" ht="18" customHeight="1">
      <c r="A59" s="171" t="s">
        <v>251</v>
      </c>
      <c r="B59" s="168">
        <v>0</v>
      </c>
      <c r="C59" s="168">
        <v>0</v>
      </c>
      <c r="D59" s="167">
        <f t="shared" si="1"/>
        <v>416.84694500000001</v>
      </c>
      <c r="E59" s="168">
        <v>0</v>
      </c>
      <c r="F59" s="168">
        <v>0</v>
      </c>
      <c r="G59" s="168">
        <v>0</v>
      </c>
      <c r="H59" s="167">
        <v>416.84694500000001</v>
      </c>
      <c r="I59" s="167"/>
      <c r="J59" s="167"/>
      <c r="K59" s="169" t="e">
        <f>D59/"#REF!*100"</f>
        <v>#VALUE!</v>
      </c>
    </row>
    <row r="60" spans="1:12" ht="18" customHeight="1">
      <c r="A60" s="171" t="s">
        <v>252</v>
      </c>
      <c r="B60" s="168">
        <v>0</v>
      </c>
      <c r="C60" s="168">
        <v>0</v>
      </c>
      <c r="D60" s="167">
        <f t="shared" si="1"/>
        <v>17980.343000000001</v>
      </c>
      <c r="E60" s="168">
        <v>0</v>
      </c>
      <c r="F60" s="168">
        <v>0</v>
      </c>
      <c r="G60" s="168">
        <v>0</v>
      </c>
      <c r="H60" s="167">
        <v>17980.343000000001</v>
      </c>
      <c r="I60" s="167"/>
      <c r="J60" s="167"/>
      <c r="K60" s="169" t="e">
        <f>D60/"#REF!*100"</f>
        <v>#VALUE!</v>
      </c>
    </row>
    <row r="61" spans="1:12" ht="18" customHeight="1">
      <c r="A61" s="185" t="s">
        <v>253</v>
      </c>
      <c r="B61" s="168">
        <v>0</v>
      </c>
      <c r="C61" s="168">
        <v>0</v>
      </c>
      <c r="D61" s="186">
        <f t="shared" si="1"/>
        <v>3750.134</v>
      </c>
      <c r="E61" s="168">
        <v>0</v>
      </c>
      <c r="F61" s="168">
        <v>0</v>
      </c>
      <c r="G61" s="168">
        <v>0</v>
      </c>
      <c r="H61" s="186">
        <v>3750.134</v>
      </c>
      <c r="I61" s="167"/>
      <c r="J61" s="186"/>
      <c r="K61" s="169"/>
    </row>
    <row r="62" spans="1:12" ht="18" customHeight="1">
      <c r="A62" s="171" t="s">
        <v>254</v>
      </c>
      <c r="B62" s="168">
        <v>0</v>
      </c>
      <c r="C62" s="168">
        <v>0</v>
      </c>
      <c r="D62" s="167">
        <f t="shared" si="1"/>
        <v>7674.0329240000001</v>
      </c>
      <c r="E62" s="168">
        <v>0</v>
      </c>
      <c r="F62" s="168">
        <v>0</v>
      </c>
      <c r="G62" s="168">
        <v>0</v>
      </c>
      <c r="H62" s="167">
        <v>7674.0329240000001</v>
      </c>
      <c r="I62" s="167"/>
      <c r="J62" s="167"/>
      <c r="K62" s="169" t="e">
        <f>D62/"#REF!*100"</f>
        <v>#VALUE!</v>
      </c>
    </row>
    <row r="63" spans="1:12" s="162" customFormat="1" ht="18" customHeight="1">
      <c r="A63" s="158" t="s">
        <v>255</v>
      </c>
      <c r="B63" s="168">
        <v>0</v>
      </c>
      <c r="C63" s="168">
        <v>0</v>
      </c>
      <c r="D63" s="156">
        <f>D64+D65+D67+D68+D69</f>
        <v>1512.7189450000001</v>
      </c>
      <c r="E63" s="156">
        <f>E64+E65+E67+E68+E69</f>
        <v>0</v>
      </c>
      <c r="F63" s="163">
        <f>+F64+F65+F67+F68+F69</f>
        <v>1512.7189450000001</v>
      </c>
      <c r="G63" s="163">
        <f>+G64+G65+G67+G68+G69</f>
        <v>0</v>
      </c>
      <c r="H63" s="156">
        <f>H64+H65+H67+H68+H69</f>
        <v>0</v>
      </c>
      <c r="I63" s="167"/>
      <c r="J63" s="156"/>
      <c r="K63" s="159" t="e">
        <f>D63/"#REF!*100"</f>
        <v>#VALUE!</v>
      </c>
    </row>
    <row r="64" spans="1:12" ht="18" customHeight="1">
      <c r="A64" s="171" t="s">
        <v>256</v>
      </c>
      <c r="B64" s="168">
        <v>0</v>
      </c>
      <c r="C64" s="168">
        <v>0</v>
      </c>
      <c r="D64" s="167">
        <f t="shared" ref="D64:D69" si="6">+E64+F64+G64+H64</f>
        <v>1422.692272</v>
      </c>
      <c r="E64" s="167"/>
      <c r="F64" s="177">
        <v>1422.692272</v>
      </c>
      <c r="G64" s="177"/>
      <c r="H64" s="167"/>
      <c r="I64" s="167"/>
      <c r="J64" s="167"/>
      <c r="K64" s="169" t="e">
        <f>D64/"#REF!*100"</f>
        <v>#VALUE!</v>
      </c>
    </row>
    <row r="65" spans="1:12" ht="18" customHeight="1">
      <c r="A65" s="171" t="s">
        <v>257</v>
      </c>
      <c r="B65" s="168">
        <v>0</v>
      </c>
      <c r="C65" s="168">
        <v>0</v>
      </c>
      <c r="D65" s="167">
        <f t="shared" si="6"/>
        <v>90.026673000000002</v>
      </c>
      <c r="E65" s="167"/>
      <c r="F65" s="177">
        <v>90.026673000000002</v>
      </c>
      <c r="G65" s="167"/>
      <c r="H65" s="167"/>
      <c r="I65" s="167"/>
      <c r="J65" s="167"/>
      <c r="K65" s="169" t="e">
        <f>D65/"#REF!*100"</f>
        <v>#VALUE!</v>
      </c>
    </row>
    <row r="66" spans="1:12" s="4" customFormat="1" ht="18" hidden="1" customHeight="1">
      <c r="A66" s="187" t="s">
        <v>258</v>
      </c>
      <c r="B66" s="188"/>
      <c r="C66" s="188"/>
      <c r="D66" s="188">
        <f t="shared" si="6"/>
        <v>0</v>
      </c>
      <c r="E66" s="188"/>
      <c r="F66" s="189"/>
      <c r="G66" s="188"/>
      <c r="H66" s="188"/>
      <c r="I66" s="167" t="e">
        <f t="shared" si="2"/>
        <v>#DIV/0!</v>
      </c>
      <c r="J66" s="188"/>
      <c r="K66" s="190"/>
    </row>
    <row r="67" spans="1:12" s="4" customFormat="1" ht="18" hidden="1" customHeight="1">
      <c r="A67" s="191" t="s">
        <v>259</v>
      </c>
      <c r="B67" s="192"/>
      <c r="C67" s="192"/>
      <c r="D67" s="192">
        <f t="shared" si="6"/>
        <v>0</v>
      </c>
      <c r="E67" s="192"/>
      <c r="F67" s="193"/>
      <c r="G67" s="192"/>
      <c r="H67" s="192"/>
      <c r="I67" s="167" t="e">
        <f t="shared" si="2"/>
        <v>#DIV/0!</v>
      </c>
      <c r="J67" s="192"/>
      <c r="K67" s="190" t="e">
        <f t="shared" ref="K67:K74" si="7">D67/"#REF!*100"</f>
        <v>#VALUE!</v>
      </c>
    </row>
    <row r="68" spans="1:12" s="4" customFormat="1" ht="18" hidden="1" customHeight="1">
      <c r="A68" s="191" t="s">
        <v>260</v>
      </c>
      <c r="B68" s="192"/>
      <c r="C68" s="192"/>
      <c r="D68" s="192">
        <f t="shared" si="6"/>
        <v>0</v>
      </c>
      <c r="E68" s="192"/>
      <c r="F68" s="193"/>
      <c r="G68" s="192"/>
      <c r="H68" s="192"/>
      <c r="I68" s="167" t="e">
        <f t="shared" si="2"/>
        <v>#DIV/0!</v>
      </c>
      <c r="J68" s="192"/>
      <c r="K68" s="190" t="e">
        <f t="shared" si="7"/>
        <v>#VALUE!</v>
      </c>
    </row>
    <row r="69" spans="1:12" s="4" customFormat="1" ht="18" hidden="1" customHeight="1">
      <c r="A69" s="191" t="s">
        <v>261</v>
      </c>
      <c r="B69" s="192"/>
      <c r="C69" s="192"/>
      <c r="D69" s="192">
        <f t="shared" si="6"/>
        <v>0</v>
      </c>
      <c r="E69" s="192"/>
      <c r="F69" s="193"/>
      <c r="G69" s="192"/>
      <c r="H69" s="192"/>
      <c r="I69" s="167" t="e">
        <f t="shared" si="2"/>
        <v>#DIV/0!</v>
      </c>
      <c r="J69" s="192"/>
      <c r="K69" s="190" t="e">
        <f t="shared" si="7"/>
        <v>#VALUE!</v>
      </c>
    </row>
    <row r="70" spans="1:12" s="162" customFormat="1" ht="18" customHeight="1">
      <c r="A70" s="158" t="s">
        <v>262</v>
      </c>
      <c r="B70" s="156">
        <f>+B71+B72+B73+B74+B75</f>
        <v>120000</v>
      </c>
      <c r="C70" s="156">
        <v>120000</v>
      </c>
      <c r="D70" s="156">
        <f>D71+D72+D73+D74+D75</f>
        <v>16903.514629000001</v>
      </c>
      <c r="E70" s="156">
        <f>E71+E72+E73+E74+E75</f>
        <v>16903.514629000001</v>
      </c>
      <c r="F70" s="163">
        <f>F71+F72+F73+F74+F75</f>
        <v>0</v>
      </c>
      <c r="G70" s="156">
        <f>G71+G72+G73+G74+G75</f>
        <v>0</v>
      </c>
      <c r="H70" s="156">
        <f>H71+H72+H73+H74+H75</f>
        <v>0</v>
      </c>
      <c r="I70" s="156">
        <f t="shared" si="2"/>
        <v>14.086262190833335</v>
      </c>
      <c r="J70" s="156">
        <f>+D70/C70*100</f>
        <v>14.086262190833335</v>
      </c>
      <c r="K70" s="159" t="e">
        <f t="shared" si="7"/>
        <v>#VALUE!</v>
      </c>
      <c r="L70" s="162">
        <v>16903.514629000001</v>
      </c>
    </row>
    <row r="71" spans="1:12" ht="18" customHeight="1">
      <c r="A71" s="171" t="s">
        <v>263</v>
      </c>
      <c r="B71" s="167"/>
      <c r="C71" s="168">
        <v>0</v>
      </c>
      <c r="D71" s="167">
        <f t="shared" ref="D71:D76" si="8">+E71+F71+G71+H71</f>
        <v>0</v>
      </c>
      <c r="E71" s="167"/>
      <c r="F71" s="168">
        <v>0</v>
      </c>
      <c r="G71" s="168">
        <v>0</v>
      </c>
      <c r="H71" s="168">
        <v>0</v>
      </c>
      <c r="I71" s="167"/>
      <c r="J71" s="156"/>
      <c r="K71" s="169" t="e">
        <f t="shared" si="7"/>
        <v>#VALUE!</v>
      </c>
      <c r="L71" s="142">
        <f>+L70-D70</f>
        <v>0</v>
      </c>
    </row>
    <row r="72" spans="1:12" ht="18" customHeight="1">
      <c r="A72" s="171" t="s">
        <v>264</v>
      </c>
      <c r="B72" s="167">
        <v>40000</v>
      </c>
      <c r="C72" s="168">
        <v>0</v>
      </c>
      <c r="D72" s="167">
        <f t="shared" si="8"/>
        <v>1997.8223410000001</v>
      </c>
      <c r="E72" s="167">
        <v>1997.8223410000001</v>
      </c>
      <c r="F72" s="168">
        <v>0</v>
      </c>
      <c r="G72" s="168">
        <v>0</v>
      </c>
      <c r="H72" s="168">
        <v>0</v>
      </c>
      <c r="I72" s="167">
        <f t="shared" si="2"/>
        <v>4.9945558525000004</v>
      </c>
      <c r="J72" s="167"/>
      <c r="K72" s="169" t="e">
        <f t="shared" si="7"/>
        <v>#VALUE!</v>
      </c>
    </row>
    <row r="73" spans="1:12" ht="18" customHeight="1">
      <c r="A73" s="171" t="s">
        <v>265</v>
      </c>
      <c r="B73" s="167"/>
      <c r="C73" s="168">
        <v>0</v>
      </c>
      <c r="D73" s="167">
        <f t="shared" si="8"/>
        <v>47.881602000000001</v>
      </c>
      <c r="E73" s="167">
        <v>47.881602000000001</v>
      </c>
      <c r="F73" s="168">
        <v>0</v>
      </c>
      <c r="G73" s="168">
        <v>0</v>
      </c>
      <c r="H73" s="168">
        <v>0</v>
      </c>
      <c r="I73" s="167"/>
      <c r="J73" s="156"/>
      <c r="K73" s="169" t="e">
        <f t="shared" si="7"/>
        <v>#VALUE!</v>
      </c>
    </row>
    <row r="74" spans="1:12" ht="18" customHeight="1">
      <c r="A74" s="171" t="s">
        <v>266</v>
      </c>
      <c r="B74" s="167">
        <v>80000</v>
      </c>
      <c r="C74" s="168">
        <v>0</v>
      </c>
      <c r="D74" s="167">
        <f t="shared" si="8"/>
        <v>14580.688683</v>
      </c>
      <c r="E74" s="167">
        <v>14580.688683</v>
      </c>
      <c r="F74" s="168">
        <v>0</v>
      </c>
      <c r="G74" s="168">
        <v>0</v>
      </c>
      <c r="H74" s="168">
        <v>0</v>
      </c>
      <c r="I74" s="167">
        <f t="shared" si="2"/>
        <v>18.22586085375</v>
      </c>
      <c r="J74" s="167"/>
      <c r="K74" s="169" t="e">
        <f t="shared" si="7"/>
        <v>#VALUE!</v>
      </c>
      <c r="L74" s="139">
        <f>27900/1000000</f>
        <v>2.7900000000000001E-2</v>
      </c>
    </row>
    <row r="75" spans="1:12" ht="18" customHeight="1">
      <c r="A75" s="171" t="s">
        <v>267</v>
      </c>
      <c r="B75" s="167"/>
      <c r="C75" s="168">
        <v>0</v>
      </c>
      <c r="D75" s="167">
        <f t="shared" si="8"/>
        <v>277.12200300000001</v>
      </c>
      <c r="E75" s="167">
        <v>277.12200300000001</v>
      </c>
      <c r="F75" s="168">
        <v>0</v>
      </c>
      <c r="G75" s="168">
        <v>0</v>
      </c>
      <c r="H75" s="168">
        <v>0</v>
      </c>
      <c r="I75" s="167"/>
      <c r="J75" s="167"/>
      <c r="K75" s="169"/>
    </row>
    <row r="76" spans="1:12" ht="18" customHeight="1">
      <c r="A76" s="158" t="s">
        <v>268</v>
      </c>
      <c r="B76" s="156"/>
      <c r="C76" s="168">
        <v>0</v>
      </c>
      <c r="D76" s="156">
        <f t="shared" si="8"/>
        <v>0</v>
      </c>
      <c r="E76" s="156"/>
      <c r="F76" s="168">
        <v>0</v>
      </c>
      <c r="G76" s="168">
        <v>0</v>
      </c>
      <c r="H76" s="168">
        <v>0</v>
      </c>
      <c r="I76" s="167"/>
      <c r="J76" s="156"/>
      <c r="K76" s="169"/>
    </row>
    <row r="77" spans="1:12" s="162" customFormat="1" ht="18" customHeight="1">
      <c r="A77" s="158" t="s">
        <v>269</v>
      </c>
      <c r="B77" s="168">
        <f>B78+B79</f>
        <v>0</v>
      </c>
      <c r="C77" s="168">
        <f>C78+C79</f>
        <v>0</v>
      </c>
      <c r="D77" s="156">
        <f>E77+F77+G77+H77</f>
        <v>25842.599047000003</v>
      </c>
      <c r="E77" s="156">
        <f>E78+E79</f>
        <v>0</v>
      </c>
      <c r="F77" s="156">
        <f>F78+F79</f>
        <v>425</v>
      </c>
      <c r="G77" s="156">
        <f>G78+G79</f>
        <v>5773.8680000000004</v>
      </c>
      <c r="H77" s="156">
        <f>H78+H79</f>
        <v>19643.731047000001</v>
      </c>
      <c r="I77" s="167"/>
      <c r="J77" s="156"/>
      <c r="K77" s="159"/>
    </row>
    <row r="78" spans="1:12" ht="30">
      <c r="A78" s="166" t="s">
        <v>270</v>
      </c>
      <c r="B78" s="168">
        <v>0</v>
      </c>
      <c r="C78" s="168">
        <v>0</v>
      </c>
      <c r="D78" s="167">
        <f t="shared" ref="D78:D89" si="9">E78+F78+G78+H78</f>
        <v>23914.059047000002</v>
      </c>
      <c r="E78" s="167"/>
      <c r="F78" s="177"/>
      <c r="G78" s="167">
        <v>5741.8680000000004</v>
      </c>
      <c r="H78" s="167">
        <v>18172.191047</v>
      </c>
      <c r="I78" s="167"/>
      <c r="J78" s="167"/>
      <c r="K78" s="169"/>
    </row>
    <row r="79" spans="1:12" ht="18" customHeight="1">
      <c r="A79" s="171" t="s">
        <v>271</v>
      </c>
      <c r="B79" s="168">
        <v>0</v>
      </c>
      <c r="C79" s="168">
        <v>0</v>
      </c>
      <c r="D79" s="167">
        <f t="shared" si="9"/>
        <v>1928.54</v>
      </c>
      <c r="E79" s="167"/>
      <c r="F79" s="177">
        <v>425</v>
      </c>
      <c r="G79" s="167">
        <v>32</v>
      </c>
      <c r="H79" s="167">
        <v>1471.54</v>
      </c>
      <c r="I79" s="167"/>
      <c r="J79" s="167"/>
      <c r="K79" s="169"/>
    </row>
    <row r="80" spans="1:12" s="162" customFormat="1" ht="29.25">
      <c r="A80" s="184" t="s">
        <v>668</v>
      </c>
      <c r="B80" s="168">
        <f>B81+B82</f>
        <v>0</v>
      </c>
      <c r="C80" s="168">
        <f>C81+C82</f>
        <v>0</v>
      </c>
      <c r="D80" s="167">
        <f t="shared" si="9"/>
        <v>0</v>
      </c>
      <c r="E80" s="156">
        <f>E81+E82</f>
        <v>0</v>
      </c>
      <c r="F80" s="156">
        <f>F81+F82</f>
        <v>0</v>
      </c>
      <c r="G80" s="156">
        <f>G81+G82</f>
        <v>0</v>
      </c>
      <c r="H80" s="156">
        <f>H81+H82</f>
        <v>0</v>
      </c>
      <c r="I80" s="167"/>
      <c r="J80" s="156"/>
      <c r="K80" s="159"/>
    </row>
    <row r="81" spans="1:13" ht="30">
      <c r="A81" s="166" t="s">
        <v>272</v>
      </c>
      <c r="B81" s="167"/>
      <c r="C81" s="167"/>
      <c r="D81" s="167">
        <f t="shared" si="9"/>
        <v>0</v>
      </c>
      <c r="E81" s="167"/>
      <c r="F81" s="177"/>
      <c r="G81" s="167"/>
      <c r="H81" s="167"/>
      <c r="I81" s="167"/>
      <c r="J81" s="167"/>
      <c r="K81" s="169"/>
    </row>
    <row r="82" spans="1:13" ht="18" customHeight="1">
      <c r="A82" s="171" t="s">
        <v>273</v>
      </c>
      <c r="B82" s="167"/>
      <c r="C82" s="167"/>
      <c r="D82" s="167">
        <f t="shared" si="9"/>
        <v>0</v>
      </c>
      <c r="E82" s="167"/>
      <c r="F82" s="177"/>
      <c r="G82" s="167"/>
      <c r="H82" s="167"/>
      <c r="I82" s="167"/>
      <c r="J82" s="167"/>
      <c r="K82" s="169"/>
    </row>
    <row r="83" spans="1:13" s="162" customFormat="1" ht="32.25" customHeight="1">
      <c r="A83" s="184" t="s">
        <v>274</v>
      </c>
      <c r="B83" s="156">
        <f>B84+B87</f>
        <v>0</v>
      </c>
      <c r="C83" s="156">
        <f>C84+C87</f>
        <v>0</v>
      </c>
      <c r="D83" s="167">
        <f t="shared" si="9"/>
        <v>0</v>
      </c>
      <c r="E83" s="156">
        <f>E84+E87</f>
        <v>0</v>
      </c>
      <c r="F83" s="156">
        <f>F84+F87</f>
        <v>0</v>
      </c>
      <c r="G83" s="156">
        <f>G84+G87</f>
        <v>0</v>
      </c>
      <c r="H83" s="156">
        <f>H84+H87</f>
        <v>0</v>
      </c>
      <c r="I83" s="167"/>
      <c r="J83" s="156"/>
      <c r="K83" s="159"/>
    </row>
    <row r="84" spans="1:13" s="162" customFormat="1" ht="18.75" customHeight="1">
      <c r="A84" s="158" t="s">
        <v>275</v>
      </c>
      <c r="B84" s="156">
        <f>B85+B86</f>
        <v>0</v>
      </c>
      <c r="C84" s="156">
        <f>C85+C86</f>
        <v>0</v>
      </c>
      <c r="D84" s="167">
        <f t="shared" si="9"/>
        <v>0</v>
      </c>
      <c r="E84" s="156">
        <f>E85+E86</f>
        <v>0</v>
      </c>
      <c r="F84" s="156">
        <f>F85+F86</f>
        <v>0</v>
      </c>
      <c r="G84" s="156">
        <f>G85+G86</f>
        <v>0</v>
      </c>
      <c r="H84" s="156">
        <f>H85+H86</f>
        <v>0</v>
      </c>
      <c r="I84" s="167"/>
      <c r="J84" s="156"/>
      <c r="K84" s="159"/>
    </row>
    <row r="85" spans="1:13" ht="18.75" customHeight="1">
      <c r="A85" s="171" t="s">
        <v>276</v>
      </c>
      <c r="B85" s="167"/>
      <c r="C85" s="167"/>
      <c r="D85" s="167">
        <f t="shared" si="9"/>
        <v>0</v>
      </c>
      <c r="E85" s="167"/>
      <c r="F85" s="177"/>
      <c r="G85" s="167"/>
      <c r="H85" s="167"/>
      <c r="I85" s="167"/>
      <c r="J85" s="167"/>
      <c r="K85" s="169"/>
    </row>
    <row r="86" spans="1:13" ht="18.75" customHeight="1">
      <c r="A86" s="171" t="s">
        <v>277</v>
      </c>
      <c r="B86" s="167"/>
      <c r="C86" s="167"/>
      <c r="D86" s="167">
        <f t="shared" si="9"/>
        <v>0</v>
      </c>
      <c r="E86" s="167"/>
      <c r="F86" s="177"/>
      <c r="G86" s="167"/>
      <c r="H86" s="167"/>
      <c r="I86" s="167"/>
      <c r="J86" s="167"/>
      <c r="K86" s="169"/>
    </row>
    <row r="87" spans="1:13" s="162" customFormat="1" ht="18" customHeight="1">
      <c r="A87" s="158" t="s">
        <v>278</v>
      </c>
      <c r="B87" s="156">
        <f>B88+B89</f>
        <v>0</v>
      </c>
      <c r="C87" s="156">
        <f>C88+C89</f>
        <v>0</v>
      </c>
      <c r="D87" s="167">
        <f t="shared" si="9"/>
        <v>0</v>
      </c>
      <c r="E87" s="156">
        <f>E88+E89</f>
        <v>0</v>
      </c>
      <c r="F87" s="156">
        <f>F88+F89</f>
        <v>0</v>
      </c>
      <c r="G87" s="156">
        <f>G88+G89</f>
        <v>0</v>
      </c>
      <c r="H87" s="156">
        <f>H88+H89</f>
        <v>0</v>
      </c>
      <c r="I87" s="167"/>
      <c r="J87" s="156"/>
      <c r="K87" s="159"/>
    </row>
    <row r="88" spans="1:13" ht="18.75" customHeight="1">
      <c r="A88" s="171" t="s">
        <v>276</v>
      </c>
      <c r="B88" s="167"/>
      <c r="C88" s="167"/>
      <c r="D88" s="167">
        <f t="shared" si="9"/>
        <v>0</v>
      </c>
      <c r="E88" s="167"/>
      <c r="F88" s="177"/>
      <c r="G88" s="167"/>
      <c r="H88" s="167"/>
      <c r="I88" s="167"/>
      <c r="J88" s="167"/>
      <c r="K88" s="169"/>
    </row>
    <row r="89" spans="1:13">
      <c r="A89" s="171" t="s">
        <v>277</v>
      </c>
      <c r="B89" s="167"/>
      <c r="C89" s="167"/>
      <c r="D89" s="167">
        <f t="shared" si="9"/>
        <v>0</v>
      </c>
      <c r="E89" s="167"/>
      <c r="F89" s="177"/>
      <c r="G89" s="167"/>
      <c r="H89" s="167"/>
      <c r="I89" s="167"/>
      <c r="J89" s="167"/>
      <c r="K89" s="169"/>
      <c r="L89" s="142">
        <f>F96+G96</f>
        <v>515.46299999999997</v>
      </c>
    </row>
    <row r="90" spans="1:13" s="162" customFormat="1" ht="18" customHeight="1">
      <c r="A90" s="158" t="s">
        <v>279</v>
      </c>
      <c r="B90" s="156">
        <f>B91+B96</f>
        <v>0</v>
      </c>
      <c r="C90" s="156">
        <f>C91+C96</f>
        <v>0</v>
      </c>
      <c r="D90" s="156">
        <f t="shared" ref="D90:D98" si="10">E90+F90+G90+H90</f>
        <v>9332266.2566500027</v>
      </c>
      <c r="E90" s="156">
        <f>E91+E96</f>
        <v>2655</v>
      </c>
      <c r="F90" s="156">
        <f>F91+F96</f>
        <v>4927604.447168001</v>
      </c>
      <c r="G90" s="156">
        <f>G91+G96</f>
        <v>3530126.5199640002</v>
      </c>
      <c r="H90" s="156">
        <f>H91+H96</f>
        <v>871880.28951799998</v>
      </c>
      <c r="I90" s="167"/>
      <c r="J90" s="156"/>
      <c r="K90" s="159"/>
    </row>
    <row r="91" spans="1:13" s="162" customFormat="1" ht="18" customHeight="1">
      <c r="A91" s="158" t="s">
        <v>280</v>
      </c>
      <c r="B91" s="156">
        <f>B92+B93</f>
        <v>0</v>
      </c>
      <c r="C91" s="156">
        <f>C92+C93</f>
        <v>0</v>
      </c>
      <c r="D91" s="156">
        <f t="shared" si="10"/>
        <v>9329095.7936500013</v>
      </c>
      <c r="E91" s="156">
        <f>E92+E93</f>
        <v>0</v>
      </c>
      <c r="F91" s="156">
        <f>F92+F93</f>
        <v>4927386.9841680005</v>
      </c>
      <c r="G91" s="156">
        <f>G92+G93</f>
        <v>3529828.5199640002</v>
      </c>
      <c r="H91" s="156">
        <f>H92+H93</f>
        <v>871880.28951799998</v>
      </c>
      <c r="I91" s="167"/>
      <c r="J91" s="156"/>
      <c r="K91" s="159"/>
    </row>
    <row r="92" spans="1:13" s="162" customFormat="1" ht="18" customHeight="1">
      <c r="A92" s="158" t="s">
        <v>281</v>
      </c>
      <c r="B92" s="156"/>
      <c r="C92" s="156"/>
      <c r="D92" s="156">
        <f t="shared" si="10"/>
        <v>6217781.6362659996</v>
      </c>
      <c r="E92" s="156"/>
      <c r="F92" s="163">
        <v>3196428</v>
      </c>
      <c r="G92" s="156">
        <v>2463207</v>
      </c>
      <c r="H92" s="156">
        <v>558146.63626599999</v>
      </c>
      <c r="I92" s="167"/>
      <c r="J92" s="156"/>
      <c r="K92" s="159"/>
    </row>
    <row r="93" spans="1:13" s="162" customFormat="1" ht="18" customHeight="1">
      <c r="A93" s="158" t="s">
        <v>282</v>
      </c>
      <c r="B93" s="156">
        <f>B94+B95</f>
        <v>0</v>
      </c>
      <c r="C93" s="156">
        <f>C94+C95</f>
        <v>0</v>
      </c>
      <c r="D93" s="156">
        <f t="shared" si="10"/>
        <v>3111314.1573839998</v>
      </c>
      <c r="E93" s="156">
        <f>E94+E95</f>
        <v>0</v>
      </c>
      <c r="F93" s="156">
        <f>F94+F95</f>
        <v>1730958.9841680001</v>
      </c>
      <c r="G93" s="156">
        <f>G94+G95</f>
        <v>1066621.519964</v>
      </c>
      <c r="H93" s="156">
        <f>H94+H95</f>
        <v>313733.65325199999</v>
      </c>
      <c r="I93" s="167"/>
      <c r="J93" s="156"/>
      <c r="K93" s="159"/>
    </row>
    <row r="94" spans="1:13" ht="18" customHeight="1">
      <c r="A94" s="171" t="s">
        <v>283</v>
      </c>
      <c r="B94" s="167"/>
      <c r="C94" s="167"/>
      <c r="D94" s="167">
        <f t="shared" si="10"/>
        <v>2744433.4005610002</v>
      </c>
      <c r="E94" s="167"/>
      <c r="F94" s="560">
        <f>1027068.227345+273600+63410</f>
        <v>1364078.227345</v>
      </c>
      <c r="G94" s="167">
        <v>1066621.519964</v>
      </c>
      <c r="H94" s="167">
        <v>313733.65325199999</v>
      </c>
      <c r="I94" s="167"/>
      <c r="J94" s="167"/>
      <c r="K94" s="169"/>
      <c r="L94" s="142">
        <f>F94+F95</f>
        <v>1730958.9841680001</v>
      </c>
    </row>
    <row r="95" spans="1:13" ht="18" customHeight="1">
      <c r="A95" s="171" t="s">
        <v>284</v>
      </c>
      <c r="B95" s="167"/>
      <c r="C95" s="167"/>
      <c r="D95" s="167">
        <f t="shared" si="10"/>
        <v>366880.75682299997</v>
      </c>
      <c r="E95" s="167"/>
      <c r="F95" s="177">
        <v>366880.75682299997</v>
      </c>
      <c r="G95" s="167"/>
      <c r="H95" s="167"/>
      <c r="I95" s="167"/>
      <c r="J95" s="167"/>
      <c r="K95" s="169"/>
      <c r="L95" s="139">
        <v>1664334.9840579999</v>
      </c>
      <c r="M95" s="142">
        <f>L94-L95</f>
        <v>66624.000110000139</v>
      </c>
    </row>
    <row r="96" spans="1:13" s="162" customFormat="1" ht="18" customHeight="1">
      <c r="A96" s="158" t="s">
        <v>285</v>
      </c>
      <c r="B96" s="156"/>
      <c r="C96" s="156"/>
      <c r="D96" s="156">
        <f t="shared" si="10"/>
        <v>3170.4630000000002</v>
      </c>
      <c r="E96" s="156">
        <v>2655</v>
      </c>
      <c r="F96" s="163">
        <v>217.46299999999999</v>
      </c>
      <c r="G96" s="156">
        <v>298</v>
      </c>
      <c r="H96" s="156"/>
      <c r="I96" s="167"/>
      <c r="J96" s="156"/>
      <c r="K96" s="159"/>
    </row>
    <row r="97" spans="1:13" s="162" customFormat="1" ht="18" customHeight="1">
      <c r="A97" s="194" t="s">
        <v>286</v>
      </c>
      <c r="B97" s="195"/>
      <c r="C97" s="195"/>
      <c r="D97" s="195">
        <f t="shared" si="10"/>
        <v>988742.91058799997</v>
      </c>
      <c r="E97" s="195"/>
      <c r="F97" s="196">
        <v>761269.25030700001</v>
      </c>
      <c r="G97" s="195">
        <v>208973.69497300001</v>
      </c>
      <c r="H97" s="195">
        <v>18499.965307999999</v>
      </c>
      <c r="I97" s="197"/>
      <c r="J97" s="195"/>
      <c r="K97" s="159"/>
      <c r="L97" s="162">
        <v>988742.91058799997</v>
      </c>
      <c r="M97" s="165">
        <f>+L97-D97</f>
        <v>0</v>
      </c>
    </row>
    <row r="98" spans="1:13" s="162" customFormat="1" ht="18" customHeight="1">
      <c r="A98" s="198" t="s">
        <v>287</v>
      </c>
      <c r="B98" s="199"/>
      <c r="C98" s="199"/>
      <c r="D98" s="199">
        <f t="shared" si="10"/>
        <v>63134.217701000001</v>
      </c>
      <c r="E98" s="199"/>
      <c r="F98" s="200"/>
      <c r="G98" s="199">
        <v>47887.595966000001</v>
      </c>
      <c r="H98" s="199">
        <v>15246.621735000001</v>
      </c>
      <c r="I98" s="201"/>
      <c r="J98" s="199"/>
      <c r="K98" s="159"/>
    </row>
    <row r="99" spans="1:13" s="206" customFormat="1" ht="18" hidden="1" customHeight="1">
      <c r="A99" s="202" t="s">
        <v>288</v>
      </c>
      <c r="B99" s="203">
        <v>0</v>
      </c>
      <c r="C99" s="203">
        <v>0</v>
      </c>
      <c r="D99" s="203">
        <f>+E99+F99+G99+H99</f>
        <v>0</v>
      </c>
      <c r="E99" s="203">
        <v>0</v>
      </c>
      <c r="F99" s="204"/>
      <c r="G99" s="203">
        <v>0</v>
      </c>
      <c r="H99" s="203"/>
      <c r="I99" s="201"/>
      <c r="J99" s="203"/>
      <c r="K99" s="205"/>
      <c r="L99" s="206" t="s">
        <v>289</v>
      </c>
    </row>
    <row r="100" spans="1:13" s="162" customFormat="1" ht="18" hidden="1" customHeight="1">
      <c r="A100" s="207" t="s">
        <v>290</v>
      </c>
      <c r="B100" s="199"/>
      <c r="C100" s="199"/>
      <c r="D100" s="199">
        <f>+E100+F100+G100+H100</f>
        <v>0</v>
      </c>
      <c r="E100" s="199"/>
      <c r="F100" s="200"/>
      <c r="G100" s="199"/>
      <c r="H100" s="199"/>
      <c r="I100" s="201"/>
      <c r="J100" s="199"/>
      <c r="K100" s="159" t="e">
        <f>D100/"#REF!*100"</f>
        <v>#VALUE!</v>
      </c>
    </row>
    <row r="101" spans="1:13" s="162" customFormat="1" ht="18" hidden="1" customHeight="1">
      <c r="A101" s="207" t="s">
        <v>291</v>
      </c>
      <c r="B101" s="199">
        <v>0</v>
      </c>
      <c r="C101" s="199">
        <v>0</v>
      </c>
      <c r="D101" s="199">
        <f>+E101+F101+G101+H101</f>
        <v>0</v>
      </c>
      <c r="E101" s="199"/>
      <c r="F101" s="200"/>
      <c r="G101" s="199"/>
      <c r="H101" s="199"/>
      <c r="I101" s="201"/>
      <c r="J101" s="199"/>
      <c r="K101" s="159" t="e">
        <f>D101/"#REF!*100"</f>
        <v>#VALUE!</v>
      </c>
    </row>
    <row r="102" spans="1:13" s="162" customFormat="1" ht="18" hidden="1" customHeight="1">
      <c r="A102" s="207" t="s">
        <v>292</v>
      </c>
      <c r="B102" s="199">
        <v>0</v>
      </c>
      <c r="C102" s="199"/>
      <c r="D102" s="199">
        <f>+E102+F102+G102+H102</f>
        <v>0</v>
      </c>
      <c r="E102" s="199"/>
      <c r="F102" s="200"/>
      <c r="G102" s="199"/>
      <c r="H102" s="199"/>
      <c r="I102" s="201"/>
      <c r="J102" s="199"/>
      <c r="K102" s="159" t="e">
        <f>D102/"#REF!*100"</f>
        <v>#VALUE!</v>
      </c>
    </row>
    <row r="103" spans="1:13" ht="18" hidden="1" customHeight="1">
      <c r="A103" s="207" t="s">
        <v>293</v>
      </c>
      <c r="B103" s="199">
        <f>SUM(B105:B106)</f>
        <v>0</v>
      </c>
      <c r="C103" s="199">
        <f>+C105+C106+C107</f>
        <v>0</v>
      </c>
      <c r="D103" s="200">
        <f>+D105+D106+D107</f>
        <v>0</v>
      </c>
      <c r="E103" s="199">
        <f>E105+E106+E107</f>
        <v>0</v>
      </c>
      <c r="F103" s="200">
        <f>F105+F106+F107</f>
        <v>0</v>
      </c>
      <c r="G103" s="199">
        <f>G105+G106+G107</f>
        <v>0</v>
      </c>
      <c r="H103" s="199">
        <f>H105+H106+H107</f>
        <v>0</v>
      </c>
      <c r="I103" s="201"/>
      <c r="J103" s="199" t="e">
        <f>+D103/C103*100</f>
        <v>#DIV/0!</v>
      </c>
      <c r="K103" s="159" t="e">
        <f>D103/"#REF!*100"</f>
        <v>#VALUE!</v>
      </c>
    </row>
    <row r="104" spans="1:13" ht="18" hidden="1" customHeight="1">
      <c r="A104" s="207" t="s">
        <v>294</v>
      </c>
      <c r="B104" s="201"/>
      <c r="C104" s="201"/>
      <c r="D104" s="199"/>
      <c r="E104" s="201"/>
      <c r="F104" s="208"/>
      <c r="G104" s="201"/>
      <c r="H104" s="201"/>
      <c r="I104" s="201"/>
      <c r="J104" s="201"/>
      <c r="K104" s="169"/>
    </row>
    <row r="105" spans="1:13" ht="18" hidden="1" customHeight="1">
      <c r="A105" s="209" t="s">
        <v>295</v>
      </c>
      <c r="B105" s="201">
        <v>0</v>
      </c>
      <c r="C105" s="210"/>
      <c r="D105" s="201">
        <f>F105+G105+H105</f>
        <v>0</v>
      </c>
      <c r="E105" s="201"/>
      <c r="F105" s="208"/>
      <c r="G105" s="201"/>
      <c r="H105" s="201"/>
      <c r="I105" s="201"/>
      <c r="J105" s="201"/>
      <c r="K105" s="169" t="e">
        <f t="shared" ref="K105:K111" si="11">D105/"#REF!*100"</f>
        <v>#VALUE!</v>
      </c>
      <c r="L105" s="142">
        <f>+D105+D106</f>
        <v>0</v>
      </c>
    </row>
    <row r="106" spans="1:13" ht="18" hidden="1" customHeight="1">
      <c r="A106" s="209" t="s">
        <v>296</v>
      </c>
      <c r="B106" s="201">
        <v>0</v>
      </c>
      <c r="C106" s="201">
        <v>0</v>
      </c>
      <c r="D106" s="201">
        <f t="shared" ref="D106:D112" si="12">F106+G106+H106</f>
        <v>0</v>
      </c>
      <c r="E106" s="201"/>
      <c r="F106" s="208"/>
      <c r="G106" s="201"/>
      <c r="H106" s="201"/>
      <c r="I106" s="201"/>
      <c r="J106" s="201"/>
      <c r="K106" s="169" t="e">
        <f t="shared" si="11"/>
        <v>#VALUE!</v>
      </c>
    </row>
    <row r="107" spans="1:13" ht="18" hidden="1" customHeight="1">
      <c r="A107" s="209" t="s">
        <v>297</v>
      </c>
      <c r="B107" s="201"/>
      <c r="C107" s="201"/>
      <c r="D107" s="208">
        <f>+D108+D109+D110+D111+D112</f>
        <v>0</v>
      </c>
      <c r="E107" s="201">
        <f>SUM(E108:E111)</f>
        <v>0</v>
      </c>
      <c r="F107" s="208">
        <f>+F108+F109+F110+F111+F112</f>
        <v>0</v>
      </c>
      <c r="G107" s="201">
        <f>SUM(G108:G111)</f>
        <v>0</v>
      </c>
      <c r="H107" s="201">
        <f>SUM(H108:H111)</f>
        <v>0</v>
      </c>
      <c r="I107" s="201"/>
      <c r="J107" s="201" t="e">
        <f>+D107/C107*100</f>
        <v>#DIV/0!</v>
      </c>
      <c r="K107" s="169" t="e">
        <f t="shared" si="11"/>
        <v>#VALUE!</v>
      </c>
    </row>
    <row r="108" spans="1:13" ht="18" hidden="1" customHeight="1">
      <c r="A108" s="209" t="s">
        <v>298</v>
      </c>
      <c r="B108" s="201"/>
      <c r="C108" s="201"/>
      <c r="D108" s="201">
        <f t="shared" si="12"/>
        <v>0</v>
      </c>
      <c r="E108" s="201"/>
      <c r="F108" s="208"/>
      <c r="G108" s="201"/>
      <c r="H108" s="201"/>
      <c r="I108" s="201"/>
      <c r="J108" s="201"/>
      <c r="K108" s="169" t="e">
        <f t="shared" si="11"/>
        <v>#VALUE!</v>
      </c>
    </row>
    <row r="109" spans="1:13" ht="18" hidden="1" customHeight="1">
      <c r="A109" s="209" t="s">
        <v>222</v>
      </c>
      <c r="B109" s="201"/>
      <c r="C109" s="201"/>
      <c r="D109" s="201">
        <f t="shared" si="12"/>
        <v>0</v>
      </c>
      <c r="E109" s="201"/>
      <c r="F109" s="208"/>
      <c r="G109" s="201"/>
      <c r="H109" s="201"/>
      <c r="I109" s="201"/>
      <c r="J109" s="201"/>
      <c r="K109" s="169" t="e">
        <f t="shared" si="11"/>
        <v>#VALUE!</v>
      </c>
    </row>
    <row r="110" spans="1:13" ht="18" hidden="1" customHeight="1">
      <c r="A110" s="209" t="s">
        <v>299</v>
      </c>
      <c r="B110" s="201"/>
      <c r="C110" s="201"/>
      <c r="D110" s="201">
        <f t="shared" si="12"/>
        <v>0</v>
      </c>
      <c r="E110" s="201"/>
      <c r="F110" s="208"/>
      <c r="G110" s="201"/>
      <c r="H110" s="201"/>
      <c r="I110" s="201"/>
      <c r="J110" s="201"/>
      <c r="K110" s="169" t="e">
        <f t="shared" si="11"/>
        <v>#VALUE!</v>
      </c>
    </row>
    <row r="111" spans="1:13" ht="18" hidden="1" customHeight="1">
      <c r="A111" s="209" t="s">
        <v>300</v>
      </c>
      <c r="B111" s="201"/>
      <c r="C111" s="201"/>
      <c r="D111" s="201">
        <f t="shared" si="12"/>
        <v>0</v>
      </c>
      <c r="E111" s="201"/>
      <c r="F111" s="208"/>
      <c r="G111" s="201"/>
      <c r="H111" s="201"/>
      <c r="I111" s="201"/>
      <c r="J111" s="201"/>
      <c r="K111" s="169" t="e">
        <f t="shared" si="11"/>
        <v>#VALUE!</v>
      </c>
    </row>
    <row r="112" spans="1:13" ht="18" hidden="1" customHeight="1">
      <c r="A112" s="209" t="s">
        <v>301</v>
      </c>
      <c r="B112" s="201"/>
      <c r="C112" s="201"/>
      <c r="D112" s="201">
        <f t="shared" si="12"/>
        <v>0</v>
      </c>
      <c r="E112" s="201"/>
      <c r="F112" s="208"/>
      <c r="G112" s="201"/>
      <c r="H112" s="201"/>
      <c r="I112" s="201"/>
      <c r="J112" s="201"/>
      <c r="K112" s="169"/>
    </row>
    <row r="113" spans="1:13" ht="18" hidden="1" customHeight="1">
      <c r="A113" s="207" t="s">
        <v>302</v>
      </c>
      <c r="B113" s="211">
        <f>+B114+B115</f>
        <v>0</v>
      </c>
      <c r="C113" s="211">
        <f>+C114+C115</f>
        <v>0</v>
      </c>
      <c r="D113" s="199">
        <f t="shared" ref="D113:D119" si="13">+E113+F113+G113+H113</f>
        <v>3841252.2598970002</v>
      </c>
      <c r="E113" s="199">
        <f>+E114+E115</f>
        <v>0</v>
      </c>
      <c r="F113" s="200">
        <f>+F114+F115+F118</f>
        <v>2359441.4879370001</v>
      </c>
      <c r="G113" s="199">
        <f>+G114+G115</f>
        <v>1110290.815073</v>
      </c>
      <c r="H113" s="199">
        <f>+H114+H115</f>
        <v>371519.95688700001</v>
      </c>
      <c r="I113" s="201"/>
      <c r="J113" s="199"/>
      <c r="K113" s="159" t="e">
        <f>D113/"#REF!*100"</f>
        <v>#VALUE!</v>
      </c>
      <c r="L113" s="142">
        <f>+D113+D119</f>
        <v>3847415.88136</v>
      </c>
    </row>
    <row r="114" spans="1:13" ht="18" hidden="1" customHeight="1">
      <c r="A114" s="212" t="s">
        <v>303</v>
      </c>
      <c r="B114" s="211">
        <v>0</v>
      </c>
      <c r="C114" s="211">
        <v>0</v>
      </c>
      <c r="D114" s="201">
        <f t="shared" si="13"/>
        <v>0</v>
      </c>
      <c r="E114" s="201"/>
      <c r="F114" s="208"/>
      <c r="G114" s="213"/>
      <c r="H114" s="201"/>
      <c r="I114" s="201"/>
      <c r="J114" s="201"/>
      <c r="K114" s="169" t="e">
        <f>D114/"#REF!*100"</f>
        <v>#VALUE!</v>
      </c>
    </row>
    <row r="115" spans="1:13" ht="18" hidden="1" customHeight="1">
      <c r="A115" s="212" t="s">
        <v>304</v>
      </c>
      <c r="B115" s="211">
        <f>+B116+B117</f>
        <v>0</v>
      </c>
      <c r="C115" s="211">
        <f>+C116+C117</f>
        <v>0</v>
      </c>
      <c r="D115" s="201">
        <f t="shared" si="13"/>
        <v>3841252.2598970002</v>
      </c>
      <c r="E115" s="201">
        <f>+E116+E117</f>
        <v>0</v>
      </c>
      <c r="F115" s="208">
        <f>+F116+F117</f>
        <v>2359441.4879370001</v>
      </c>
      <c r="G115" s="214">
        <f>+G116+G117</f>
        <v>1110290.815073</v>
      </c>
      <c r="H115" s="214">
        <f>+H116+H117</f>
        <v>371519.95688700001</v>
      </c>
      <c r="I115" s="201"/>
      <c r="J115" s="201"/>
      <c r="K115" s="215" t="e">
        <f>D115/"#REF!*100"</f>
        <v>#VALUE!</v>
      </c>
    </row>
    <row r="116" spans="1:13" ht="18" hidden="1" customHeight="1">
      <c r="A116" s="212" t="s">
        <v>305</v>
      </c>
      <c r="B116" s="211">
        <v>0</v>
      </c>
      <c r="C116" s="211">
        <v>0</v>
      </c>
      <c r="D116" s="201">
        <f t="shared" si="13"/>
        <v>3623885.4719600007</v>
      </c>
      <c r="E116" s="201"/>
      <c r="F116" s="208">
        <f>2006074.7+136000+26176-26176</f>
        <v>2142074.7000000002</v>
      </c>
      <c r="G116" s="213">
        <v>1110290.815073</v>
      </c>
      <c r="H116" s="201">
        <v>371519.95688700001</v>
      </c>
      <c r="I116" s="201"/>
      <c r="J116" s="201"/>
      <c r="K116" s="215" t="e">
        <f>D116/"#REF!*100"</f>
        <v>#VALUE!</v>
      </c>
    </row>
    <row r="117" spans="1:13" ht="18" hidden="1" customHeight="1">
      <c r="A117" s="212" t="s">
        <v>306</v>
      </c>
      <c r="B117" s="211">
        <v>0</v>
      </c>
      <c r="C117" s="211">
        <v>0</v>
      </c>
      <c r="D117" s="201">
        <f t="shared" si="13"/>
        <v>217366.78793699999</v>
      </c>
      <c r="E117" s="201"/>
      <c r="F117" s="214">
        <v>217366.78793699999</v>
      </c>
      <c r="G117" s="201"/>
      <c r="H117" s="201"/>
      <c r="I117" s="201"/>
      <c r="J117" s="201"/>
      <c r="K117" s="215" t="e">
        <f>D117/"#REF!*100"</f>
        <v>#VALUE!</v>
      </c>
      <c r="L117" s="139">
        <v>46547</v>
      </c>
      <c r="M117" s="142">
        <v>170729.78793699999</v>
      </c>
    </row>
    <row r="118" spans="1:13" s="221" customFormat="1" ht="30" hidden="1">
      <c r="A118" s="216" t="s">
        <v>307</v>
      </c>
      <c r="B118" s="217"/>
      <c r="C118" s="217"/>
      <c r="D118" s="218">
        <f t="shared" si="13"/>
        <v>0</v>
      </c>
      <c r="E118" s="218"/>
      <c r="F118" s="219"/>
      <c r="G118" s="218"/>
      <c r="H118" s="218"/>
      <c r="I118" s="201"/>
      <c r="J118" s="218"/>
      <c r="K118" s="220"/>
      <c r="M118" s="222"/>
    </row>
    <row r="119" spans="1:13" s="162" customFormat="1" ht="18" hidden="1" customHeight="1">
      <c r="A119" s="223" t="s">
        <v>308</v>
      </c>
      <c r="B119" s="224">
        <v>0</v>
      </c>
      <c r="C119" s="224">
        <v>0</v>
      </c>
      <c r="D119" s="199">
        <f t="shared" si="13"/>
        <v>6163.6214630000004</v>
      </c>
      <c r="E119" s="199"/>
      <c r="F119" s="200">
        <v>6163.6214630000004</v>
      </c>
      <c r="G119" s="199"/>
      <c r="H119" s="199">
        <v>0</v>
      </c>
      <c r="I119" s="201"/>
      <c r="J119" s="199"/>
      <c r="K119" s="225" t="e">
        <f>D119/"#REF!*100"</f>
        <v>#VALUE!</v>
      </c>
    </row>
    <row r="120" spans="1:13" ht="18" hidden="1" customHeight="1">
      <c r="A120" s="226" t="s">
        <v>309</v>
      </c>
      <c r="B120" s="199">
        <f>B8</f>
        <v>4237000</v>
      </c>
      <c r="C120" s="199">
        <f t="shared" ref="C120:H120" si="14">C9+C103+C113+C119</f>
        <v>4237000</v>
      </c>
      <c r="D120" s="199">
        <f t="shared" si="14"/>
        <v>8045228.2704019994</v>
      </c>
      <c r="E120" s="199">
        <f t="shared" si="14"/>
        <v>320621.280585</v>
      </c>
      <c r="F120" s="200">
        <f t="shared" si="14"/>
        <v>5544679.0267230002</v>
      </c>
      <c r="G120" s="199">
        <f t="shared" si="14"/>
        <v>1711301.607332</v>
      </c>
      <c r="H120" s="199">
        <f t="shared" si="14"/>
        <v>468626.35576200002</v>
      </c>
      <c r="I120" s="201"/>
      <c r="J120" s="199">
        <f>+F120/C120*100</f>
        <v>130.8633237366769</v>
      </c>
      <c r="K120" s="215"/>
    </row>
    <row r="121" spans="1:13" ht="17.100000000000001" hidden="1" customHeight="1">
      <c r="A121" s="227" t="s">
        <v>310</v>
      </c>
      <c r="B121" s="228"/>
      <c r="C121" s="228"/>
      <c r="D121" s="199">
        <f>E121+F121+G121+H121</f>
        <v>0</v>
      </c>
      <c r="E121" s="229"/>
      <c r="F121" s="230"/>
      <c r="G121" s="230"/>
      <c r="H121" s="230"/>
      <c r="I121" s="201"/>
      <c r="J121" s="231"/>
      <c r="K121" s="215"/>
    </row>
    <row r="122" spans="1:13" ht="17.100000000000001" customHeight="1">
      <c r="A122" s="232"/>
      <c r="B122" s="233"/>
      <c r="C122" s="233"/>
      <c r="D122" s="233"/>
      <c r="E122" s="234"/>
      <c r="F122" s="235"/>
      <c r="G122" s="235"/>
      <c r="H122" s="235"/>
      <c r="I122" s="225"/>
      <c r="J122" s="215"/>
      <c r="K122" s="215"/>
    </row>
    <row r="123" spans="1:13" ht="17.100000000000001" customHeight="1">
      <c r="A123" s="236" t="s">
        <v>655</v>
      </c>
      <c r="B123" s="233"/>
      <c r="C123" s="995" t="s">
        <v>656</v>
      </c>
      <c r="D123" s="995"/>
      <c r="E123" s="995"/>
      <c r="F123" s="995"/>
      <c r="G123" s="235"/>
      <c r="H123" s="237" t="s">
        <v>657</v>
      </c>
      <c r="I123" s="225"/>
      <c r="J123" s="215"/>
      <c r="K123" s="215"/>
    </row>
    <row r="124" spans="1:13" ht="17.100000000000001" customHeight="1">
      <c r="A124" s="238" t="s">
        <v>311</v>
      </c>
      <c r="B124" s="233"/>
      <c r="C124" s="233"/>
      <c r="D124" s="239" t="s">
        <v>312</v>
      </c>
      <c r="E124" s="239"/>
      <c r="F124" s="239"/>
      <c r="G124" s="235"/>
      <c r="H124" s="240" t="s">
        <v>82</v>
      </c>
      <c r="I124" s="225"/>
      <c r="J124" s="215"/>
      <c r="K124" s="215"/>
    </row>
    <row r="125" spans="1:13" ht="17.100000000000001" customHeight="1">
      <c r="A125" s="232"/>
      <c r="B125" s="233"/>
      <c r="C125" s="233"/>
      <c r="D125" s="233"/>
      <c r="E125" s="234"/>
      <c r="F125" s="235"/>
      <c r="G125" s="235"/>
      <c r="H125" s="241" t="s">
        <v>83</v>
      </c>
      <c r="I125" s="225"/>
      <c r="J125" s="215"/>
      <c r="K125" s="215"/>
    </row>
    <row r="126" spans="1:13" ht="17.100000000000001" customHeight="1">
      <c r="A126" s="232"/>
      <c r="B126" s="233"/>
      <c r="C126" s="233"/>
      <c r="D126" s="233">
        <v>14244945.773980999</v>
      </c>
      <c r="E126" s="234"/>
      <c r="F126" s="235"/>
      <c r="G126" s="235"/>
      <c r="H126" s="235"/>
      <c r="I126" s="225"/>
      <c r="J126" s="215"/>
      <c r="K126" s="215"/>
    </row>
    <row r="127" spans="1:13" ht="17.100000000000001" customHeight="1">
      <c r="A127" s="232"/>
      <c r="B127" s="233"/>
      <c r="C127" s="233"/>
      <c r="D127" s="233">
        <f>D8-D126</f>
        <v>337010.00000000186</v>
      </c>
      <c r="E127" s="234"/>
      <c r="F127" s="235"/>
      <c r="G127" s="235"/>
      <c r="H127" s="235"/>
      <c r="I127" s="225"/>
      <c r="J127" s="215"/>
      <c r="K127" s="215"/>
    </row>
    <row r="128" spans="1:13" ht="17.100000000000001" customHeight="1">
      <c r="A128" s="232"/>
      <c r="B128" s="233"/>
      <c r="C128" s="233"/>
      <c r="D128" s="562">
        <v>14308355.773980999</v>
      </c>
      <c r="E128" s="234"/>
      <c r="F128" s="235">
        <f>F8</f>
        <v>8867947.6147980001</v>
      </c>
      <c r="G128" s="235"/>
      <c r="H128" s="235"/>
      <c r="I128" s="225"/>
      <c r="J128" s="215"/>
      <c r="K128" s="215"/>
    </row>
    <row r="129" spans="1:12">
      <c r="A129" s="242"/>
      <c r="B129" s="242"/>
      <c r="D129" s="242">
        <f>D128-D126</f>
        <v>63410</v>
      </c>
      <c r="F129" s="138">
        <v>8594347.6147980001</v>
      </c>
      <c r="G129" s="242"/>
      <c r="H129" s="242"/>
      <c r="I129" s="242"/>
    </row>
    <row r="130" spans="1:12">
      <c r="A130" s="243"/>
      <c r="B130" s="244"/>
      <c r="D130" s="245"/>
      <c r="E130" s="246"/>
      <c r="F130" s="244">
        <f>+F128-D127</f>
        <v>8530937.6147979982</v>
      </c>
      <c r="G130" s="243"/>
      <c r="H130" s="245"/>
      <c r="I130" s="244"/>
      <c r="J130" s="247"/>
      <c r="K130" s="247"/>
    </row>
    <row r="131" spans="1:12">
      <c r="F131" s="559">
        <f>+F129-F130</f>
        <v>63410.000000001863</v>
      </c>
      <c r="G131" s="245">
        <v>63410</v>
      </c>
      <c r="H131" s="243"/>
    </row>
    <row r="132" spans="1:12">
      <c r="A132" s="119"/>
      <c r="D132" s="119"/>
      <c r="G132" s="138">
        <f>+F131-G131</f>
        <v>1.862645149230957E-9</v>
      </c>
    </row>
    <row r="133" spans="1:12">
      <c r="A133" s="248">
        <v>14167029008394</v>
      </c>
      <c r="D133" s="119"/>
      <c r="L133" s="139">
        <v>14123853.669837</v>
      </c>
    </row>
    <row r="134" spans="1:12">
      <c r="A134" s="248">
        <v>13067238513595</v>
      </c>
      <c r="D134" s="119"/>
      <c r="F134" s="138">
        <f>+F8</f>
        <v>8867947.6147980001</v>
      </c>
      <c r="L134" s="142">
        <f>+D8</f>
        <v>14581955.773981001</v>
      </c>
    </row>
    <row r="135" spans="1:12">
      <c r="A135" s="119"/>
      <c r="F135" s="138">
        <v>8368559.7895010002</v>
      </c>
      <c r="G135" s="138">
        <v>4426697.8240090003</v>
      </c>
      <c r="L135" s="142">
        <f>+L133-L134</f>
        <v>-458102.10414400138</v>
      </c>
    </row>
    <row r="136" spans="1:12">
      <c r="A136" s="119"/>
      <c r="F136" s="138">
        <f>+F135-F134</f>
        <v>-499387.82529699989</v>
      </c>
      <c r="G136" s="138">
        <f>+G8-G135</f>
        <v>-38699.220846999437</v>
      </c>
    </row>
    <row r="137" spans="1:12">
      <c r="A137" s="119"/>
      <c r="F137" s="138">
        <v>193903</v>
      </c>
    </row>
    <row r="138" spans="1:12">
      <c r="F138" s="138">
        <f>+F136-F137</f>
        <v>-693290.82529699989</v>
      </c>
    </row>
  </sheetData>
  <sheetProtection selectLockedCells="1" selectUnlockedCells="1"/>
  <mergeCells count="5">
    <mergeCell ref="C123:F123"/>
    <mergeCell ref="A2:J2"/>
    <mergeCell ref="B4:C4"/>
    <mergeCell ref="E4:H4"/>
    <mergeCell ref="I4:J4"/>
  </mergeCells>
  <phoneticPr fontId="160" type="noConversion"/>
  <pageMargins left="0" right="0" top="0.5" bottom="0.5" header="0.51180555555555551" footer="0.51180555555555551"/>
  <pageSetup paperSize="9" scale="95" firstPageNumber="0" orientation="landscape"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T117"/>
  <sheetViews>
    <sheetView workbookViewId="0">
      <selection activeCell="S18" sqref="S18"/>
    </sheetView>
  </sheetViews>
  <sheetFormatPr defaultColWidth="46.7109375" defaultRowHeight="15.75"/>
  <cols>
    <col min="1" max="1" width="5.42578125" style="105" customWidth="1"/>
    <col min="2" max="2" width="42.140625" style="105" customWidth="1"/>
    <col min="3" max="3" width="11.42578125" style="105" customWidth="1"/>
    <col min="4" max="4" width="10.5703125" style="129" customWidth="1"/>
    <col min="5" max="5" width="14" style="105" customWidth="1"/>
    <col min="6" max="6" width="13.42578125" style="116" customWidth="1"/>
    <col min="7" max="7" width="11.7109375" style="116" hidden="1" customWidth="1"/>
    <col min="8" max="8" width="18" style="116" hidden="1" customWidth="1"/>
    <col min="9" max="9" width="13" style="105" customWidth="1"/>
    <col min="10" max="10" width="10.7109375" style="105" hidden="1" customWidth="1"/>
    <col min="11" max="11" width="12.42578125" style="116" hidden="1" customWidth="1"/>
    <col min="12" max="12" width="11.28515625" style="105" customWidth="1"/>
    <col min="13" max="13" width="10" style="105" hidden="1" customWidth="1"/>
    <col min="14" max="14" width="11" style="116" hidden="1" customWidth="1"/>
    <col min="15" max="15" width="8.85546875" style="105" customWidth="1"/>
    <col min="16" max="16" width="9.85546875" style="105" customWidth="1"/>
    <col min="17" max="17" width="0" style="105" hidden="1" customWidth="1"/>
    <col min="18" max="18" width="17.5703125" style="105" customWidth="1"/>
    <col min="19" max="19" width="12.42578125" style="105" customWidth="1"/>
    <col min="20" max="20" width="16.140625" style="105" customWidth="1"/>
    <col min="21" max="254" width="9.140625" style="105" customWidth="1"/>
    <col min="255" max="255" width="5.42578125" style="105" customWidth="1"/>
    <col min="256" max="16384" width="46.7109375" style="105"/>
  </cols>
  <sheetData>
    <row r="1" spans="1:20" ht="22.5" customHeight="1">
      <c r="B1" s="105" t="s">
        <v>36</v>
      </c>
      <c r="L1" s="107"/>
      <c r="M1" s="107"/>
      <c r="N1" s="249"/>
      <c r="P1" s="540" t="s">
        <v>740</v>
      </c>
      <c r="Q1" s="107"/>
    </row>
    <row r="2" spans="1:20" ht="18.75" customHeight="1">
      <c r="B2" s="1023" t="s">
        <v>313</v>
      </c>
      <c r="C2" s="1023"/>
      <c r="D2" s="1023"/>
      <c r="E2" s="1023"/>
      <c r="F2" s="1023"/>
      <c r="G2" s="1023"/>
      <c r="H2" s="1023"/>
      <c r="I2" s="1023"/>
      <c r="J2" s="1023"/>
      <c r="K2" s="1023"/>
      <c r="L2" s="1023"/>
      <c r="M2" s="1023"/>
      <c r="N2" s="1023"/>
      <c r="O2" s="1023"/>
      <c r="P2" s="1023"/>
      <c r="Q2" s="250"/>
    </row>
    <row r="3" spans="1:20" s="116" customFormat="1" ht="15.75" customHeight="1">
      <c r="B3" s="108"/>
      <c r="C3" s="251"/>
      <c r="D3" s="252"/>
      <c r="E3" s="253"/>
      <c r="F3" s="254"/>
      <c r="G3" s="255"/>
      <c r="H3" s="255"/>
      <c r="I3" s="253"/>
      <c r="J3" s="253"/>
      <c r="K3" s="253"/>
      <c r="L3" s="255"/>
      <c r="M3" s="255"/>
      <c r="N3" s="255"/>
      <c r="P3" s="256" t="s">
        <v>38</v>
      </c>
      <c r="Q3" s="256"/>
    </row>
    <row r="4" spans="1:20" ht="15.75" customHeight="1">
      <c r="A4" s="257"/>
      <c r="B4" s="258"/>
      <c r="C4" s="1024" t="s">
        <v>94</v>
      </c>
      <c r="D4" s="1024"/>
      <c r="E4" s="1024" t="s">
        <v>314</v>
      </c>
      <c r="F4" s="1024"/>
      <c r="G4" s="1024"/>
      <c r="H4" s="1024"/>
      <c r="I4" s="1024"/>
      <c r="J4" s="1024"/>
      <c r="K4" s="1024"/>
      <c r="L4" s="1024"/>
      <c r="M4" s="538"/>
      <c r="N4" s="538"/>
      <c r="O4" s="1025" t="s">
        <v>96</v>
      </c>
      <c r="P4" s="1025"/>
      <c r="Q4" s="538"/>
      <c r="R4" s="115">
        <f>+C8+C26</f>
        <v>7716290</v>
      </c>
    </row>
    <row r="5" spans="1:20" ht="15.95" customHeight="1">
      <c r="A5" s="259" t="s">
        <v>39</v>
      </c>
      <c r="B5" s="260" t="s">
        <v>97</v>
      </c>
      <c r="C5" s="111" t="s">
        <v>99</v>
      </c>
      <c r="D5" s="261" t="s">
        <v>98</v>
      </c>
      <c r="E5" s="110" t="s">
        <v>315</v>
      </c>
      <c r="F5" s="1026" t="s">
        <v>75</v>
      </c>
      <c r="G5" s="1026"/>
      <c r="H5" s="1026"/>
      <c r="I5" s="1026"/>
      <c r="J5" s="1026"/>
      <c r="K5" s="1026"/>
      <c r="L5" s="1026"/>
      <c r="M5" s="262"/>
      <c r="N5" s="262"/>
      <c r="O5" s="539" t="s">
        <v>99</v>
      </c>
      <c r="P5" s="539" t="s">
        <v>98</v>
      </c>
      <c r="Q5" s="110" t="s">
        <v>316</v>
      </c>
    </row>
    <row r="6" spans="1:20" ht="15.95" customHeight="1">
      <c r="A6" s="263"/>
      <c r="B6" s="264"/>
      <c r="C6" s="113" t="s">
        <v>101</v>
      </c>
      <c r="D6" s="265" t="s">
        <v>102</v>
      </c>
      <c r="E6" s="112" t="s">
        <v>317</v>
      </c>
      <c r="F6" s="266" t="s">
        <v>318</v>
      </c>
      <c r="G6" s="539" t="s">
        <v>319</v>
      </c>
      <c r="H6" s="539" t="s">
        <v>320</v>
      </c>
      <c r="I6" s="539" t="s">
        <v>321</v>
      </c>
      <c r="J6" s="539" t="s">
        <v>321</v>
      </c>
      <c r="K6" s="539"/>
      <c r="L6" s="539" t="s">
        <v>322</v>
      </c>
      <c r="M6" s="539" t="s">
        <v>322</v>
      </c>
      <c r="N6" s="539"/>
      <c r="O6" s="539" t="s">
        <v>101</v>
      </c>
      <c r="P6" s="539" t="s">
        <v>102</v>
      </c>
      <c r="Q6" s="112" t="s">
        <v>323</v>
      </c>
    </row>
    <row r="7" spans="1:20" ht="16.5" customHeight="1">
      <c r="A7" s="263"/>
      <c r="B7" s="267" t="s">
        <v>186</v>
      </c>
      <c r="C7" s="267" t="s">
        <v>103</v>
      </c>
      <c r="D7" s="265" t="s">
        <v>104</v>
      </c>
      <c r="E7" s="267" t="s">
        <v>324</v>
      </c>
      <c r="F7" s="268" t="s">
        <v>325</v>
      </c>
      <c r="G7" s="268"/>
      <c r="H7" s="268"/>
      <c r="I7" s="268" t="s">
        <v>326</v>
      </c>
      <c r="J7" s="268" t="s">
        <v>327</v>
      </c>
      <c r="K7" s="268" t="s">
        <v>328</v>
      </c>
      <c r="L7" s="268" t="s">
        <v>329</v>
      </c>
      <c r="M7" s="268" t="s">
        <v>330</v>
      </c>
      <c r="N7" s="268" t="s">
        <v>328</v>
      </c>
      <c r="O7" s="268" t="s">
        <v>331</v>
      </c>
      <c r="P7" s="268" t="s">
        <v>332</v>
      </c>
      <c r="Q7" s="130"/>
      <c r="R7" s="106">
        <f>+N10+K10</f>
        <v>93459.366070999997</v>
      </c>
      <c r="T7" s="106"/>
    </row>
    <row r="8" spans="1:20" ht="17.25" customHeight="1">
      <c r="A8" s="269" t="s">
        <v>51</v>
      </c>
      <c r="B8" s="270" t="s">
        <v>333</v>
      </c>
      <c r="C8" s="271">
        <f>+C9+C35+C75+C76+C80</f>
        <v>7490070</v>
      </c>
      <c r="D8" s="272">
        <f>+D9+D35+D75+D76+D77+D26+D80</f>
        <v>7966290</v>
      </c>
      <c r="E8" s="273">
        <f>+F8+I8+L8</f>
        <v>9610255.0431739986</v>
      </c>
      <c r="F8" s="200">
        <f>+F9+F26+F35+F75+F77+F80</f>
        <v>5200318.1866060002</v>
      </c>
      <c r="G8" s="200"/>
      <c r="H8" s="200"/>
      <c r="I8" s="200">
        <f>+I9+I26+I35+I75+I77+I80</f>
        <v>3435937.5853449996</v>
      </c>
      <c r="J8" s="200"/>
      <c r="K8" s="200"/>
      <c r="L8" s="200">
        <f>+L9+L26+L35+L75+L77+L80</f>
        <v>973999.2712229999</v>
      </c>
      <c r="M8" s="273"/>
      <c r="N8" s="200"/>
      <c r="O8" s="273">
        <f>E8/C8*100</f>
        <v>128.30661186309337</v>
      </c>
      <c r="P8" s="273">
        <f>E8/D8*100</f>
        <v>120.63652017656901</v>
      </c>
      <c r="Q8" s="274" t="e">
        <f>+E8/"#REF!*100"</f>
        <v>#VALUE!</v>
      </c>
      <c r="R8" s="106">
        <f>+F8</f>
        <v>5200318.1866060002</v>
      </c>
      <c r="T8" s="106"/>
    </row>
    <row r="9" spans="1:20" ht="18" customHeight="1">
      <c r="A9" s="269" t="s">
        <v>108</v>
      </c>
      <c r="B9" s="275" t="s">
        <v>54</v>
      </c>
      <c r="C9" s="541">
        <v>1216570</v>
      </c>
      <c r="D9" s="276">
        <v>1459770</v>
      </c>
      <c r="E9" s="200">
        <f>+F9+I9+L9</f>
        <v>1634663.0631699997</v>
      </c>
      <c r="F9" s="200">
        <f>+F10+F24+F25</f>
        <v>1218591.318548</v>
      </c>
      <c r="G9" s="200"/>
      <c r="H9" s="200"/>
      <c r="I9" s="200">
        <f>+I10+I24+I25</f>
        <v>308519.25172899995</v>
      </c>
      <c r="J9" s="273"/>
      <c r="K9" s="200"/>
      <c r="L9" s="200">
        <f>+L10+L24+L25</f>
        <v>107552.492893</v>
      </c>
      <c r="M9" s="273"/>
      <c r="N9" s="200"/>
      <c r="O9" s="273">
        <f>E9/C9*100</f>
        <v>134.36654390376219</v>
      </c>
      <c r="P9" s="273">
        <f>E9/D9*100</f>
        <v>111.98086432588694</v>
      </c>
      <c r="Q9" s="277" t="e">
        <f>+E9/"#REF!*100"</f>
        <v>#VALUE!</v>
      </c>
      <c r="R9" s="106">
        <f>+R8-F77</f>
        <v>4331886.860781</v>
      </c>
    </row>
    <row r="10" spans="1:20" ht="29.25">
      <c r="A10" s="269">
        <v>1</v>
      </c>
      <c r="B10" s="278" t="s">
        <v>654</v>
      </c>
      <c r="C10" s="279">
        <v>0</v>
      </c>
      <c r="D10" s="279">
        <v>0</v>
      </c>
      <c r="E10" s="273">
        <f>F10+I10+L10</f>
        <v>1602663.0631699997</v>
      </c>
      <c r="F10" s="200">
        <f>+F11+F12+F13+F14+F15+F16+F17+F18+F19+F20+F21+F22+F23</f>
        <v>1186591.318548</v>
      </c>
      <c r="G10" s="200"/>
      <c r="H10" s="200">
        <f>+H11+H12+H13+H14+H15+H16+H17+H18+H19+H20+H21+H22+H23</f>
        <v>723040.85893300013</v>
      </c>
      <c r="I10" s="200">
        <f>+I11+I12+I13+I14+I15+I16+I17+I18+I19+I20+I21+I22+I23</f>
        <v>308519.25172899995</v>
      </c>
      <c r="J10" s="273"/>
      <c r="K10" s="200">
        <f>+SUM(K11:K23)</f>
        <v>12587.647931</v>
      </c>
      <c r="L10" s="200">
        <f>+L11+L12+L13+L14+L15+L16+L17+L18+L19+L20+L21+L22+L23</f>
        <v>107552.492893</v>
      </c>
      <c r="M10" s="200">
        <f>+M11+M12+M13+M14+M15+M16+M17+M18+M19+M20+M21+M22+M23</f>
        <v>0</v>
      </c>
      <c r="N10" s="200">
        <f>+N11+N12+N13+N14+N15+N16+N17+N18+N19+N20+N21+N22+N23</f>
        <v>80871.718139999997</v>
      </c>
      <c r="O10" s="279">
        <v>0</v>
      </c>
      <c r="P10" s="279">
        <v>0</v>
      </c>
      <c r="Q10" s="277"/>
      <c r="R10" s="106">
        <v>7740070</v>
      </c>
    </row>
    <row r="11" spans="1:20" ht="18" customHeight="1">
      <c r="A11" s="280" t="s">
        <v>334</v>
      </c>
      <c r="B11" s="281" t="s">
        <v>335</v>
      </c>
      <c r="C11" s="279">
        <v>0</v>
      </c>
      <c r="D11" s="279">
        <v>0</v>
      </c>
      <c r="E11" s="208">
        <f>+F11+I11+L11</f>
        <v>39739.648000000001</v>
      </c>
      <c r="F11" s="208">
        <v>39739.648000000001</v>
      </c>
      <c r="G11" s="208"/>
      <c r="H11" s="208"/>
      <c r="I11" s="279">
        <v>0</v>
      </c>
      <c r="J11" s="214"/>
      <c r="K11" s="208"/>
      <c r="L11" s="279">
        <v>0</v>
      </c>
      <c r="M11" s="214"/>
      <c r="N11" s="208"/>
      <c r="O11" s="279">
        <v>0</v>
      </c>
      <c r="P11" s="279">
        <v>0</v>
      </c>
      <c r="Q11" s="282"/>
      <c r="R11" s="106">
        <v>1805936.8265879999</v>
      </c>
    </row>
    <row r="12" spans="1:20" ht="18" customHeight="1">
      <c r="A12" s="280" t="s">
        <v>336</v>
      </c>
      <c r="B12" s="281" t="s">
        <v>337</v>
      </c>
      <c r="C12" s="279">
        <v>0</v>
      </c>
      <c r="D12" s="279">
        <v>0</v>
      </c>
      <c r="E12" s="208">
        <f t="shared" ref="E12:E23" si="0">+F12+I12+L12</f>
        <v>19715.274890000001</v>
      </c>
      <c r="F12" s="208">
        <v>19715.274890000001</v>
      </c>
      <c r="G12" s="208"/>
      <c r="H12" s="208"/>
      <c r="I12" s="279">
        <v>0</v>
      </c>
      <c r="J12" s="214"/>
      <c r="K12" s="208"/>
      <c r="L12" s="279">
        <v>0</v>
      </c>
      <c r="M12" s="214"/>
      <c r="N12" s="208"/>
      <c r="O12" s="279">
        <v>0</v>
      </c>
      <c r="P12" s="279">
        <v>0</v>
      </c>
      <c r="Q12" s="282"/>
      <c r="R12" s="106">
        <f>+R11-F10</f>
        <v>619345.50803999999</v>
      </c>
    </row>
    <row r="13" spans="1:20" ht="18" customHeight="1">
      <c r="A13" s="280" t="s">
        <v>338</v>
      </c>
      <c r="B13" s="281" t="s">
        <v>339</v>
      </c>
      <c r="C13" s="279">
        <v>0</v>
      </c>
      <c r="D13" s="279">
        <v>0</v>
      </c>
      <c r="E13" s="208">
        <f t="shared" si="0"/>
        <v>197179.29119999998</v>
      </c>
      <c r="F13" s="208">
        <f>71790.316955-H13</f>
        <v>63750.909599999999</v>
      </c>
      <c r="G13" s="208"/>
      <c r="H13" s="208">
        <v>8039.4073550000003</v>
      </c>
      <c r="I13" s="214">
        <f>133803.5196-K13</f>
        <v>133428.38159999999</v>
      </c>
      <c r="J13" s="214"/>
      <c r="K13" s="208">
        <v>375.13799999999998</v>
      </c>
      <c r="L13" s="279">
        <v>0</v>
      </c>
      <c r="M13" s="214"/>
      <c r="N13" s="208"/>
      <c r="O13" s="279">
        <v>0</v>
      </c>
      <c r="P13" s="279">
        <v>0</v>
      </c>
      <c r="Q13" s="282"/>
      <c r="R13" s="106"/>
    </row>
    <row r="14" spans="1:20" ht="18" customHeight="1">
      <c r="A14" s="280" t="s">
        <v>340</v>
      </c>
      <c r="B14" s="281" t="s">
        <v>341</v>
      </c>
      <c r="C14" s="279">
        <v>0</v>
      </c>
      <c r="D14" s="279">
        <v>0</v>
      </c>
      <c r="E14" s="208">
        <f t="shared" si="0"/>
        <v>754.53200000000004</v>
      </c>
      <c r="F14" s="208">
        <v>754.53200000000004</v>
      </c>
      <c r="G14" s="208"/>
      <c r="H14" s="208"/>
      <c r="I14" s="279">
        <v>0</v>
      </c>
      <c r="J14" s="214"/>
      <c r="K14" s="208"/>
      <c r="L14" s="279">
        <v>0</v>
      </c>
      <c r="M14" s="214"/>
      <c r="N14" s="208"/>
      <c r="O14" s="279">
        <v>0</v>
      </c>
      <c r="P14" s="279">
        <v>0</v>
      </c>
      <c r="Q14" s="282"/>
      <c r="R14" s="106">
        <f>E8+I97+L97</f>
        <v>9610770.5061739981</v>
      </c>
    </row>
    <row r="15" spans="1:20" ht="18" customHeight="1">
      <c r="A15" s="280" t="s">
        <v>342</v>
      </c>
      <c r="B15" s="281" t="s">
        <v>343</v>
      </c>
      <c r="C15" s="279">
        <v>0</v>
      </c>
      <c r="D15" s="279">
        <v>0</v>
      </c>
      <c r="E15" s="208">
        <f t="shared" si="0"/>
        <v>225791.24131300001</v>
      </c>
      <c r="F15" s="208">
        <f>261878.307813-H15</f>
        <v>225769.16231300001</v>
      </c>
      <c r="G15" s="208"/>
      <c r="H15" s="208">
        <f>30100.5115+6008.634</f>
        <v>36109.145499999999</v>
      </c>
      <c r="I15" s="214">
        <v>22.079000000000001</v>
      </c>
      <c r="J15" s="214"/>
      <c r="K15" s="208"/>
      <c r="L15" s="279">
        <v>0</v>
      </c>
      <c r="M15" s="214"/>
      <c r="N15" s="208"/>
      <c r="O15" s="279">
        <v>0</v>
      </c>
      <c r="P15" s="279">
        <v>0</v>
      </c>
      <c r="Q15" s="282"/>
      <c r="R15" s="106"/>
    </row>
    <row r="16" spans="1:20" ht="18" customHeight="1">
      <c r="A16" s="280" t="s">
        <v>344</v>
      </c>
      <c r="B16" s="281" t="s">
        <v>345</v>
      </c>
      <c r="C16" s="279">
        <v>0</v>
      </c>
      <c r="D16" s="279">
        <v>0</v>
      </c>
      <c r="E16" s="208">
        <f t="shared" si="0"/>
        <v>34157.590332</v>
      </c>
      <c r="F16" s="208">
        <v>27887.705625999999</v>
      </c>
      <c r="G16" s="208"/>
      <c r="H16" s="208"/>
      <c r="I16" s="214">
        <f>6618.941706-K16</f>
        <v>6269.8847059999998</v>
      </c>
      <c r="J16" s="214"/>
      <c r="K16" s="208">
        <f>100+249.057</f>
        <v>349.05700000000002</v>
      </c>
      <c r="L16" s="279">
        <f>22.998778-N16</f>
        <v>0</v>
      </c>
      <c r="M16" s="214"/>
      <c r="N16" s="208">
        <v>22.998778000000001</v>
      </c>
      <c r="O16" s="279">
        <v>0</v>
      </c>
      <c r="P16" s="279">
        <v>0</v>
      </c>
      <c r="Q16" s="282"/>
      <c r="R16" s="106">
        <f>+N10+K10+J35+M35</f>
        <v>109104.60187699999</v>
      </c>
    </row>
    <row r="17" spans="1:20" ht="18" customHeight="1">
      <c r="A17" s="280" t="s">
        <v>346</v>
      </c>
      <c r="B17" s="281" t="s">
        <v>347</v>
      </c>
      <c r="C17" s="279">
        <v>0</v>
      </c>
      <c r="D17" s="279">
        <v>0</v>
      </c>
      <c r="E17" s="208">
        <f t="shared" si="0"/>
        <v>590.72799999999995</v>
      </c>
      <c r="F17" s="208">
        <v>590.72799999999995</v>
      </c>
      <c r="G17" s="208"/>
      <c r="H17" s="208"/>
      <c r="I17" s="279">
        <v>0</v>
      </c>
      <c r="J17" s="214"/>
      <c r="K17" s="208"/>
      <c r="L17" s="279">
        <v>0</v>
      </c>
      <c r="M17" s="214"/>
      <c r="N17" s="208"/>
      <c r="O17" s="279">
        <v>0</v>
      </c>
      <c r="P17" s="279">
        <v>0</v>
      </c>
      <c r="Q17" s="282"/>
      <c r="R17" s="106">
        <v>109104.601677</v>
      </c>
    </row>
    <row r="18" spans="1:20" ht="18" customHeight="1">
      <c r="A18" s="280" t="s">
        <v>348</v>
      </c>
      <c r="B18" s="281" t="s">
        <v>349</v>
      </c>
      <c r="C18" s="279">
        <v>0</v>
      </c>
      <c r="D18" s="279">
        <v>0</v>
      </c>
      <c r="E18" s="208">
        <f t="shared" si="0"/>
        <v>1094.421</v>
      </c>
      <c r="F18" s="279">
        <v>0</v>
      </c>
      <c r="G18" s="208"/>
      <c r="H18" s="208"/>
      <c r="I18" s="214">
        <v>1094.421</v>
      </c>
      <c r="J18" s="214"/>
      <c r="K18" s="208"/>
      <c r="L18" s="279">
        <v>0</v>
      </c>
      <c r="M18" s="214"/>
      <c r="N18" s="208"/>
      <c r="O18" s="279">
        <v>0</v>
      </c>
      <c r="P18" s="279">
        <v>0</v>
      </c>
      <c r="Q18" s="282"/>
      <c r="R18" s="297">
        <f>+R17-R16</f>
        <v>-1.9999999494757503E-4</v>
      </c>
    </row>
    <row r="19" spans="1:20" ht="18" customHeight="1">
      <c r="A19" s="280" t="s">
        <v>350</v>
      </c>
      <c r="B19" s="281" t="s">
        <v>351</v>
      </c>
      <c r="C19" s="279">
        <v>0</v>
      </c>
      <c r="D19" s="279">
        <v>0</v>
      </c>
      <c r="E19" s="208">
        <f t="shared" si="0"/>
        <v>1102.1440000000002</v>
      </c>
      <c r="F19" s="208">
        <f>5662.144-H19</f>
        <v>1102.1440000000002</v>
      </c>
      <c r="G19" s="208"/>
      <c r="H19" s="208">
        <f>1346+3214</f>
        <v>4560</v>
      </c>
      <c r="I19" s="279">
        <v>0</v>
      </c>
      <c r="J19" s="214"/>
      <c r="K19" s="208"/>
      <c r="L19" s="279">
        <v>0</v>
      </c>
      <c r="M19" s="214"/>
      <c r="N19" s="208"/>
      <c r="O19" s="279">
        <v>0</v>
      </c>
      <c r="P19" s="279">
        <v>0</v>
      </c>
      <c r="Q19" s="282"/>
      <c r="R19" s="106">
        <v>1132.3430000000001</v>
      </c>
    </row>
    <row r="20" spans="1:20" ht="18" customHeight="1">
      <c r="A20" s="280" t="s">
        <v>352</v>
      </c>
      <c r="B20" s="281" t="s">
        <v>353</v>
      </c>
      <c r="C20" s="279">
        <v>0</v>
      </c>
      <c r="D20" s="279">
        <v>0</v>
      </c>
      <c r="E20" s="208">
        <f t="shared" si="0"/>
        <v>763597.30386899994</v>
      </c>
      <c r="F20" s="208">
        <f>718959.347186-H20</f>
        <v>513250.28353599994</v>
      </c>
      <c r="G20" s="208"/>
      <c r="H20" s="208">
        <f>43311.022858+162398.040792</f>
        <v>205709.06365000003</v>
      </c>
      <c r="I20" s="214">
        <f>171618.932371-K20</f>
        <v>159755.47944</v>
      </c>
      <c r="J20" s="214"/>
      <c r="K20" s="208">
        <f>145.528+7706.080931+600+1379.086+2032.758</f>
        <v>11863.452931</v>
      </c>
      <c r="L20" s="214">
        <f>166169.401255-N20</f>
        <v>90591.540892999998</v>
      </c>
      <c r="M20" s="214"/>
      <c r="N20" s="208">
        <f>35+16034.737779+200+1052.884+58255.238583</f>
        <v>75577.860362000007</v>
      </c>
      <c r="O20" s="279">
        <v>0</v>
      </c>
      <c r="P20" s="279">
        <v>0</v>
      </c>
      <c r="Q20" s="282"/>
      <c r="R20" s="106"/>
    </row>
    <row r="21" spans="1:20" ht="18" customHeight="1">
      <c r="A21" s="280" t="s">
        <v>354</v>
      </c>
      <c r="B21" s="281" t="s">
        <v>355</v>
      </c>
      <c r="C21" s="279">
        <v>0</v>
      </c>
      <c r="D21" s="279">
        <v>0</v>
      </c>
      <c r="E21" s="208">
        <f t="shared" si="0"/>
        <v>240071.66548199995</v>
      </c>
      <c r="F21" s="208">
        <f>683784.949927-H21</f>
        <v>215161.70749899995</v>
      </c>
      <c r="G21" s="208"/>
      <c r="H21" s="208">
        <f>451689.116127+16934.126301</f>
        <v>468623.24242800003</v>
      </c>
      <c r="I21" s="214">
        <v>7949.005983</v>
      </c>
      <c r="J21" s="214"/>
      <c r="K21" s="208"/>
      <c r="L21" s="214">
        <f>22231.811-N21</f>
        <v>16960.952000000001</v>
      </c>
      <c r="M21" s="214"/>
      <c r="N21" s="208">
        <v>5270.8590000000004</v>
      </c>
      <c r="O21" s="279">
        <v>0</v>
      </c>
      <c r="P21" s="279">
        <v>0</v>
      </c>
      <c r="Q21" s="282"/>
      <c r="R21" s="106"/>
    </row>
    <row r="22" spans="1:20" ht="18" customHeight="1">
      <c r="A22" s="280" t="s">
        <v>356</v>
      </c>
      <c r="B22" s="281" t="s">
        <v>357</v>
      </c>
      <c r="C22" s="279">
        <v>0</v>
      </c>
      <c r="D22" s="279">
        <v>0</v>
      </c>
      <c r="E22" s="208">
        <f t="shared" si="0"/>
        <v>24438.359499999999</v>
      </c>
      <c r="F22" s="208">
        <v>24438.359499999999</v>
      </c>
      <c r="G22" s="208"/>
      <c r="H22" s="208"/>
      <c r="I22" s="279">
        <v>0</v>
      </c>
      <c r="J22" s="279"/>
      <c r="K22" s="279"/>
      <c r="L22" s="279">
        <v>0</v>
      </c>
      <c r="M22" s="214"/>
      <c r="N22" s="208"/>
      <c r="O22" s="279">
        <v>0</v>
      </c>
      <c r="P22" s="279">
        <v>0</v>
      </c>
      <c r="Q22" s="282"/>
      <c r="R22" s="106"/>
    </row>
    <row r="23" spans="1:20" ht="18" customHeight="1">
      <c r="A23" s="280" t="s">
        <v>358</v>
      </c>
      <c r="B23" s="281" t="s">
        <v>359</v>
      </c>
      <c r="C23" s="279">
        <v>0</v>
      </c>
      <c r="D23" s="279">
        <v>0</v>
      </c>
      <c r="E23" s="208">
        <f t="shared" si="0"/>
        <v>54430.863583999999</v>
      </c>
      <c r="F23" s="208">
        <v>54430.863583999999</v>
      </c>
      <c r="G23" s="208"/>
      <c r="H23" s="208"/>
      <c r="I23" s="279">
        <v>0</v>
      </c>
      <c r="J23" s="279"/>
      <c r="K23" s="279"/>
      <c r="L23" s="279">
        <v>0</v>
      </c>
      <c r="M23" s="214"/>
      <c r="N23" s="208"/>
      <c r="O23" s="279">
        <v>0</v>
      </c>
      <c r="P23" s="279">
        <v>0</v>
      </c>
      <c r="Q23" s="282"/>
      <c r="R23" s="106">
        <v>226130.12599999999</v>
      </c>
      <c r="S23" s="106">
        <f>+F26-R23</f>
        <v>1132.3429999999935</v>
      </c>
    </row>
    <row r="24" spans="1:20" ht="33" customHeight="1">
      <c r="A24" s="269">
        <v>2</v>
      </c>
      <c r="B24" s="278" t="s">
        <v>360</v>
      </c>
      <c r="C24" s="279">
        <v>0</v>
      </c>
      <c r="D24" s="279">
        <v>0</v>
      </c>
      <c r="E24" s="273">
        <f>F24+I24+L24</f>
        <v>32000</v>
      </c>
      <c r="F24" s="200">
        <v>32000</v>
      </c>
      <c r="G24" s="200"/>
      <c r="H24" s="200"/>
      <c r="I24" s="279">
        <v>0</v>
      </c>
      <c r="J24" s="279"/>
      <c r="K24" s="279"/>
      <c r="L24" s="279">
        <v>0</v>
      </c>
      <c r="M24" s="273"/>
      <c r="N24" s="200"/>
      <c r="O24" s="279">
        <v>0</v>
      </c>
      <c r="P24" s="279">
        <v>0</v>
      </c>
      <c r="Q24" s="277"/>
      <c r="R24" s="106">
        <f>+R10-D8</f>
        <v>-226220</v>
      </c>
    </row>
    <row r="25" spans="1:20" ht="18" customHeight="1">
      <c r="A25" s="269">
        <v>3</v>
      </c>
      <c r="B25" s="275" t="s">
        <v>361</v>
      </c>
      <c r="C25" s="279">
        <v>0</v>
      </c>
      <c r="D25" s="279">
        <v>0</v>
      </c>
      <c r="E25" s="279">
        <f>F25+I25+L25</f>
        <v>0</v>
      </c>
      <c r="F25" s="279">
        <v>0</v>
      </c>
      <c r="G25" s="200"/>
      <c r="H25" s="200"/>
      <c r="I25" s="279">
        <v>0</v>
      </c>
      <c r="J25" s="279"/>
      <c r="K25" s="279"/>
      <c r="L25" s="279">
        <v>0</v>
      </c>
      <c r="M25" s="273"/>
      <c r="N25" s="200"/>
      <c r="O25" s="279">
        <v>0</v>
      </c>
      <c r="P25" s="279">
        <v>0</v>
      </c>
      <c r="Q25" s="277"/>
      <c r="R25" s="106">
        <f>+D8-D92</f>
        <v>7966290</v>
      </c>
    </row>
    <row r="26" spans="1:20" ht="18" customHeight="1">
      <c r="A26" s="269" t="s">
        <v>112</v>
      </c>
      <c r="B26" s="275" t="s">
        <v>132</v>
      </c>
      <c r="C26" s="279">
        <v>226220</v>
      </c>
      <c r="D26" s="542">
        <v>226220</v>
      </c>
      <c r="E26" s="200">
        <f>F26+I26+L26</f>
        <v>227262.46899999998</v>
      </c>
      <c r="F26" s="200">
        <f>246730.874657+1132.343+3630.126-24230.874657</f>
        <v>227262.46899999998</v>
      </c>
      <c r="G26" s="200"/>
      <c r="H26" s="200"/>
      <c r="I26" s="279">
        <v>0</v>
      </c>
      <c r="J26" s="279"/>
      <c r="K26" s="279"/>
      <c r="L26" s="279">
        <v>0</v>
      </c>
      <c r="M26" s="273"/>
      <c r="N26" s="200"/>
      <c r="O26" s="273">
        <f t="shared" ref="O26:O73" si="1">E26/C26*100</f>
        <v>100.46082088232693</v>
      </c>
      <c r="P26" s="273">
        <f t="shared" ref="P26:P73" si="2">E26/D26*100</f>
        <v>100.46082088232693</v>
      </c>
      <c r="Q26" s="277"/>
      <c r="R26" s="106">
        <f>+R25+D26+D92</f>
        <v>8192510</v>
      </c>
    </row>
    <row r="27" spans="1:20" ht="18" hidden="1" customHeight="1">
      <c r="A27" s="269"/>
      <c r="B27" s="275"/>
      <c r="C27" s="279"/>
      <c r="D27" s="276"/>
      <c r="E27" s="200"/>
      <c r="F27" s="200"/>
      <c r="G27" s="200"/>
      <c r="H27" s="200"/>
      <c r="I27" s="273"/>
      <c r="J27" s="273"/>
      <c r="K27" s="200"/>
      <c r="L27" s="273"/>
      <c r="M27" s="273"/>
      <c r="N27" s="200"/>
      <c r="O27" s="273" t="e">
        <f t="shared" si="1"/>
        <v>#DIV/0!</v>
      </c>
      <c r="P27" s="273" t="e">
        <f t="shared" si="2"/>
        <v>#DIV/0!</v>
      </c>
      <c r="Q27" s="277"/>
      <c r="R27" s="106"/>
    </row>
    <row r="28" spans="1:20" ht="18" hidden="1" customHeight="1">
      <c r="A28" s="269"/>
      <c r="B28" s="275"/>
      <c r="C28" s="279"/>
      <c r="D28" s="276"/>
      <c r="E28" s="200"/>
      <c r="F28" s="200"/>
      <c r="G28" s="200"/>
      <c r="H28" s="200"/>
      <c r="I28" s="273"/>
      <c r="J28" s="273"/>
      <c r="K28" s="200"/>
      <c r="L28" s="273"/>
      <c r="M28" s="273"/>
      <c r="N28" s="200"/>
      <c r="O28" s="273" t="e">
        <f t="shared" si="1"/>
        <v>#DIV/0!</v>
      </c>
      <c r="P28" s="273" t="e">
        <f t="shared" si="2"/>
        <v>#DIV/0!</v>
      </c>
      <c r="Q28" s="277"/>
      <c r="R28" s="106"/>
    </row>
    <row r="29" spans="1:20" ht="15" hidden="1" customHeight="1">
      <c r="A29" s="281"/>
      <c r="B29" s="283" t="s">
        <v>362</v>
      </c>
      <c r="C29" s="279"/>
      <c r="D29" s="284"/>
      <c r="E29" s="285">
        <f>F29+I29+L29</f>
        <v>0</v>
      </c>
      <c r="F29" s="286"/>
      <c r="G29" s="286"/>
      <c r="H29" s="286"/>
      <c r="I29" s="285"/>
      <c r="J29" s="285">
        <f>J31</f>
        <v>0</v>
      </c>
      <c r="K29" s="286"/>
      <c r="L29" s="285"/>
      <c r="M29" s="285"/>
      <c r="N29" s="286"/>
      <c r="O29" s="273" t="e">
        <f t="shared" si="1"/>
        <v>#DIV/0!</v>
      </c>
      <c r="P29" s="273" t="e">
        <f t="shared" si="2"/>
        <v>#DIV/0!</v>
      </c>
      <c r="Q29" s="287"/>
      <c r="R29" s="106"/>
      <c r="S29" s="105" t="s">
        <v>363</v>
      </c>
      <c r="T29" s="106"/>
    </row>
    <row r="30" spans="1:20" ht="15" hidden="1" customHeight="1">
      <c r="A30" s="281"/>
      <c r="B30" s="283" t="s">
        <v>364</v>
      </c>
      <c r="C30" s="279"/>
      <c r="D30" s="284"/>
      <c r="E30" s="285">
        <f>F30+I30+L30</f>
        <v>0</v>
      </c>
      <c r="F30" s="286"/>
      <c r="G30" s="286"/>
      <c r="H30" s="286"/>
      <c r="I30" s="285"/>
      <c r="J30" s="285"/>
      <c r="K30" s="286"/>
      <c r="L30" s="285"/>
      <c r="M30" s="285"/>
      <c r="N30" s="286"/>
      <c r="O30" s="273" t="e">
        <f t="shared" si="1"/>
        <v>#DIV/0!</v>
      </c>
      <c r="P30" s="273" t="e">
        <f t="shared" si="2"/>
        <v>#DIV/0!</v>
      </c>
      <c r="Q30" s="287"/>
      <c r="R30" s="106"/>
      <c r="T30" s="106"/>
    </row>
    <row r="31" spans="1:20" s="116" customFormat="1" ht="15" hidden="1" customHeight="1">
      <c r="A31" s="288">
        <v>1</v>
      </c>
      <c r="B31" s="281" t="s">
        <v>365</v>
      </c>
      <c r="C31" s="279"/>
      <c r="D31" s="289"/>
      <c r="E31" s="214">
        <f>F31+I31+L31</f>
        <v>0</v>
      </c>
      <c r="F31" s="208"/>
      <c r="G31" s="208"/>
      <c r="H31" s="208"/>
      <c r="I31" s="214"/>
      <c r="J31" s="214"/>
      <c r="K31" s="208"/>
      <c r="L31" s="214"/>
      <c r="M31" s="214"/>
      <c r="N31" s="208"/>
      <c r="O31" s="273" t="e">
        <f t="shared" si="1"/>
        <v>#DIV/0!</v>
      </c>
      <c r="P31" s="273" t="e">
        <f t="shared" si="2"/>
        <v>#DIV/0!</v>
      </c>
      <c r="Q31" s="282" t="e">
        <f>+E31/"#REF!*100"</f>
        <v>#VALUE!</v>
      </c>
      <c r="R31" s="290"/>
    </row>
    <row r="32" spans="1:20" s="293" customFormat="1" ht="15" hidden="1" customHeight="1">
      <c r="A32" s="291"/>
      <c r="B32" s="283" t="s">
        <v>366</v>
      </c>
      <c r="C32" s="279"/>
      <c r="D32" s="284"/>
      <c r="E32" s="285">
        <f>F32+I32+L32</f>
        <v>0</v>
      </c>
      <c r="F32" s="286"/>
      <c r="G32" s="286"/>
      <c r="H32" s="286"/>
      <c r="I32" s="285"/>
      <c r="J32" s="285"/>
      <c r="K32" s="286"/>
      <c r="L32" s="285"/>
      <c r="M32" s="285"/>
      <c r="N32" s="286"/>
      <c r="O32" s="273" t="e">
        <f t="shared" si="1"/>
        <v>#DIV/0!</v>
      </c>
      <c r="P32" s="273" t="e">
        <f t="shared" si="2"/>
        <v>#DIV/0!</v>
      </c>
      <c r="Q32" s="287"/>
      <c r="R32" s="292"/>
      <c r="T32" s="294"/>
    </row>
    <row r="33" spans="1:20" s="293" customFormat="1" ht="15" hidden="1" customHeight="1">
      <c r="A33" s="291">
        <v>2</v>
      </c>
      <c r="B33" s="281" t="s">
        <v>367</v>
      </c>
      <c r="C33" s="279"/>
      <c r="D33" s="284"/>
      <c r="E33" s="285">
        <f>+F33</f>
        <v>0</v>
      </c>
      <c r="F33" s="286"/>
      <c r="G33" s="286"/>
      <c r="H33" s="286"/>
      <c r="I33" s="285"/>
      <c r="J33" s="285"/>
      <c r="K33" s="286"/>
      <c r="L33" s="285"/>
      <c r="M33" s="285"/>
      <c r="N33" s="286"/>
      <c r="O33" s="273" t="e">
        <f t="shared" si="1"/>
        <v>#DIV/0!</v>
      </c>
      <c r="P33" s="273" t="e">
        <f t="shared" si="2"/>
        <v>#DIV/0!</v>
      </c>
      <c r="Q33" s="287"/>
      <c r="R33" s="292"/>
      <c r="T33" s="294"/>
    </row>
    <row r="34" spans="1:20" ht="15" hidden="1" customHeight="1">
      <c r="A34" s="281">
        <v>3</v>
      </c>
      <c r="B34" s="281" t="s">
        <v>368</v>
      </c>
      <c r="C34" s="279"/>
      <c r="D34" s="295"/>
      <c r="E34" s="214">
        <f>+F34+I34+L34</f>
        <v>0</v>
      </c>
      <c r="F34" s="208"/>
      <c r="G34" s="208"/>
      <c r="H34" s="208"/>
      <c r="I34" s="214"/>
      <c r="J34" s="214"/>
      <c r="K34" s="208"/>
      <c r="L34" s="214"/>
      <c r="M34" s="214"/>
      <c r="N34" s="208"/>
      <c r="O34" s="273" t="e">
        <f t="shared" si="1"/>
        <v>#DIV/0!</v>
      </c>
      <c r="P34" s="273" t="e">
        <f t="shared" si="2"/>
        <v>#DIV/0!</v>
      </c>
      <c r="Q34" s="282"/>
      <c r="T34" s="106"/>
    </row>
    <row r="35" spans="1:20" ht="17.25" customHeight="1">
      <c r="A35" s="269" t="s">
        <v>130</v>
      </c>
      <c r="B35" s="275" t="s">
        <v>62</v>
      </c>
      <c r="C35" s="279">
        <v>5499118</v>
      </c>
      <c r="D35" s="543">
        <f>+D36+D37+D38+D39+D40+D41+D42+D43+D44+D45+D46+D47+D48-1</f>
        <v>5505918</v>
      </c>
      <c r="E35" s="273">
        <f>+F35+I35+L35</f>
        <v>5826674.0866430001</v>
      </c>
      <c r="F35" s="200">
        <f t="shared" ref="F35:N35" si="3">+F36+F37+F38+F39+F40+F41+F42+F43+F44+F45+F46+F47+F48</f>
        <v>2149702.5019509997</v>
      </c>
      <c r="G35" s="200">
        <f t="shared" si="3"/>
        <v>12289.712348999999</v>
      </c>
      <c r="H35" s="200">
        <f t="shared" si="3"/>
        <v>0</v>
      </c>
      <c r="I35" s="200">
        <f t="shared" si="3"/>
        <v>2940133.1716049998</v>
      </c>
      <c r="J35" s="200">
        <f t="shared" si="3"/>
        <v>6184.9528</v>
      </c>
      <c r="K35" s="200">
        <f t="shared" si="3"/>
        <v>0</v>
      </c>
      <c r="L35" s="200">
        <f t="shared" si="3"/>
        <v>736838.41308699991</v>
      </c>
      <c r="M35" s="200">
        <f t="shared" si="3"/>
        <v>9460.2830059999997</v>
      </c>
      <c r="N35" s="200">
        <f t="shared" si="3"/>
        <v>0</v>
      </c>
      <c r="O35" s="273">
        <f t="shared" si="1"/>
        <v>105.95652042096569</v>
      </c>
      <c r="P35" s="273">
        <f t="shared" si="2"/>
        <v>105.82566043742388</v>
      </c>
      <c r="Q35" s="282" t="e">
        <f>+E35/"#REF!*100"</f>
        <v>#VALUE!</v>
      </c>
      <c r="R35" s="106">
        <f>+J35+M35</f>
        <v>15645.235806000001</v>
      </c>
      <c r="T35" s="106"/>
    </row>
    <row r="36" spans="1:20" ht="17.25" customHeight="1">
      <c r="A36" s="280">
        <v>1</v>
      </c>
      <c r="B36" s="281" t="s">
        <v>335</v>
      </c>
      <c r="C36" s="279">
        <v>0</v>
      </c>
      <c r="D36" s="544">
        <v>109888</v>
      </c>
      <c r="E36" s="214">
        <f>F36+I36+L36</f>
        <v>139901.12236499999</v>
      </c>
      <c r="F36" s="208">
        <v>45230.463499999998</v>
      </c>
      <c r="G36" s="208"/>
      <c r="H36" s="208"/>
      <c r="I36" s="208">
        <v>40984.356299999999</v>
      </c>
      <c r="J36" s="214"/>
      <c r="K36" s="208"/>
      <c r="L36" s="208">
        <v>53686.302564999998</v>
      </c>
      <c r="M36" s="214"/>
      <c r="N36" s="208"/>
      <c r="O36" s="279">
        <v>0</v>
      </c>
      <c r="P36" s="214">
        <f t="shared" si="2"/>
        <v>127.31246575149243</v>
      </c>
      <c r="Q36" s="282"/>
      <c r="R36" s="129"/>
      <c r="T36" s="106"/>
    </row>
    <row r="37" spans="1:20" ht="17.25" customHeight="1">
      <c r="A37" s="280">
        <v>2</v>
      </c>
      <c r="B37" s="281" t="s">
        <v>337</v>
      </c>
      <c r="C37" s="279">
        <v>0</v>
      </c>
      <c r="D37" s="544">
        <v>37211</v>
      </c>
      <c r="E37" s="214">
        <f>F37+I37+L37</f>
        <v>47492.136631000001</v>
      </c>
      <c r="F37" s="208">
        <v>14632.672278</v>
      </c>
      <c r="G37" s="208"/>
      <c r="H37" s="208"/>
      <c r="I37" s="208">
        <v>12503.892400000001</v>
      </c>
      <c r="J37" s="214"/>
      <c r="K37" s="208"/>
      <c r="L37" s="208">
        <v>20355.571952999999</v>
      </c>
      <c r="M37" s="214"/>
      <c r="N37" s="208"/>
      <c r="O37" s="279">
        <v>0</v>
      </c>
      <c r="P37" s="214">
        <f t="shared" si="2"/>
        <v>127.62929410926877</v>
      </c>
      <c r="Q37" s="282"/>
      <c r="R37" s="129">
        <f>+D8-D26+D92</f>
        <v>7740070</v>
      </c>
      <c r="T37" s="106"/>
    </row>
    <row r="38" spans="1:20" ht="17.25" customHeight="1">
      <c r="A38" s="280">
        <v>3</v>
      </c>
      <c r="B38" s="281" t="s">
        <v>339</v>
      </c>
      <c r="C38" s="279">
        <v>1955995</v>
      </c>
      <c r="D38" s="544">
        <v>2043669</v>
      </c>
      <c r="E38" s="214">
        <f t="shared" ref="E38:E48" si="4">F38+I38+L38</f>
        <v>2084208.9082770001</v>
      </c>
      <c r="F38" s="208">
        <f>364904.996735-G38</f>
        <v>362357.91205499996</v>
      </c>
      <c r="G38" s="208">
        <f>14.4+5.179+154.8+1575.05898+797.6467</f>
        <v>2547.0846799999999</v>
      </c>
      <c r="H38" s="208"/>
      <c r="I38" s="208">
        <f>1719726.001324-J38</f>
        <v>1715892.794524</v>
      </c>
      <c r="J38" s="214">
        <f>152.987+100.3915+16.636+3563.1923</f>
        <v>3833.2067999999999</v>
      </c>
      <c r="K38" s="208"/>
      <c r="L38" s="208">
        <v>5958.2016979999999</v>
      </c>
      <c r="M38" s="214"/>
      <c r="N38" s="208"/>
      <c r="O38" s="214">
        <f t="shared" si="1"/>
        <v>106.55492004207578</v>
      </c>
      <c r="P38" s="214">
        <f t="shared" si="2"/>
        <v>101.98368269406642</v>
      </c>
      <c r="Q38" s="282"/>
      <c r="T38" s="106"/>
    </row>
    <row r="39" spans="1:20" ht="17.25" customHeight="1">
      <c r="A39" s="280">
        <v>4</v>
      </c>
      <c r="B39" s="281" t="s">
        <v>341</v>
      </c>
      <c r="C39" s="279">
        <v>24350</v>
      </c>
      <c r="D39" s="544">
        <v>24350</v>
      </c>
      <c r="E39" s="214">
        <f t="shared" si="4"/>
        <v>27892.280896</v>
      </c>
      <c r="F39" s="208">
        <v>22954.017722000001</v>
      </c>
      <c r="G39" s="208"/>
      <c r="H39" s="208"/>
      <c r="I39" s="208">
        <v>4927.8031739999997</v>
      </c>
      <c r="J39" s="214"/>
      <c r="K39" s="208"/>
      <c r="L39" s="208">
        <v>10.46</v>
      </c>
      <c r="M39" s="214"/>
      <c r="N39" s="208"/>
      <c r="O39" s="214">
        <f t="shared" si="1"/>
        <v>114.54735480903491</v>
      </c>
      <c r="P39" s="214">
        <f t="shared" si="2"/>
        <v>114.54735480903491</v>
      </c>
      <c r="Q39" s="282"/>
      <c r="R39" s="129"/>
      <c r="T39" s="106"/>
    </row>
    <row r="40" spans="1:20" ht="17.25" customHeight="1">
      <c r="A40" s="280">
        <v>5</v>
      </c>
      <c r="B40" s="281" t="s">
        <v>343</v>
      </c>
      <c r="C40" s="279">
        <v>0</v>
      </c>
      <c r="D40" s="544">
        <v>659397</v>
      </c>
      <c r="E40" s="214">
        <f>F40+I40+L40</f>
        <v>696479.74568399996</v>
      </c>
      <c r="F40" s="208">
        <f>523755.313896-G40</f>
        <v>523712.07057899999</v>
      </c>
      <c r="G40" s="208">
        <v>43.243316999999998</v>
      </c>
      <c r="H40" s="208"/>
      <c r="I40" s="208">
        <f>172386.158105-J40</f>
        <v>172350.74710500002</v>
      </c>
      <c r="J40" s="214">
        <f>0.605+2.514+32.292</f>
        <v>35.411000000000001</v>
      </c>
      <c r="K40" s="208"/>
      <c r="L40" s="208">
        <v>416.928</v>
      </c>
      <c r="M40" s="214"/>
      <c r="N40" s="208"/>
      <c r="O40" s="279">
        <v>0</v>
      </c>
      <c r="P40" s="214">
        <f t="shared" si="2"/>
        <v>105.623735880509</v>
      </c>
      <c r="Q40" s="282"/>
      <c r="T40" s="106"/>
    </row>
    <row r="41" spans="1:20" ht="17.25" customHeight="1">
      <c r="A41" s="280">
        <v>6</v>
      </c>
      <c r="B41" s="281" t="s">
        <v>345</v>
      </c>
      <c r="C41" s="279">
        <v>0</v>
      </c>
      <c r="D41" s="544">
        <v>49603</v>
      </c>
      <c r="E41" s="214">
        <f t="shared" si="4"/>
        <v>73190.323566999999</v>
      </c>
      <c r="F41" s="208">
        <f>45551.609708-G41</f>
        <v>45391.524708000004</v>
      </c>
      <c r="G41" s="208">
        <f>10.435+149.65</f>
        <v>160.08500000000001</v>
      </c>
      <c r="H41" s="208"/>
      <c r="I41" s="208">
        <v>20556.220491</v>
      </c>
      <c r="J41" s="214"/>
      <c r="K41" s="208"/>
      <c r="L41" s="208">
        <v>7242.5783680000004</v>
      </c>
      <c r="M41" s="214"/>
      <c r="N41" s="208"/>
      <c r="O41" s="279">
        <v>0</v>
      </c>
      <c r="P41" s="214">
        <f t="shared" si="2"/>
        <v>147.55221169485716</v>
      </c>
      <c r="Q41" s="282"/>
      <c r="T41" s="106"/>
    </row>
    <row r="42" spans="1:20" ht="17.25" customHeight="1">
      <c r="A42" s="280">
        <v>7</v>
      </c>
      <c r="B42" s="281" t="s">
        <v>347</v>
      </c>
      <c r="C42" s="279">
        <v>0</v>
      </c>
      <c r="D42" s="544">
        <v>19806</v>
      </c>
      <c r="E42" s="214">
        <f t="shared" si="4"/>
        <v>21312.679032999997</v>
      </c>
      <c r="F42" s="208">
        <f>9877.51363-G42</f>
        <v>9719.9785999999986</v>
      </c>
      <c r="G42" s="208">
        <v>157.53503000000001</v>
      </c>
      <c r="H42" s="208"/>
      <c r="I42" s="208">
        <v>10105.247084000001</v>
      </c>
      <c r="J42" s="214"/>
      <c r="K42" s="208"/>
      <c r="L42" s="208">
        <v>1487.4533489999999</v>
      </c>
      <c r="M42" s="214"/>
      <c r="N42" s="208"/>
      <c r="O42" s="279">
        <v>0</v>
      </c>
      <c r="P42" s="214">
        <f t="shared" si="2"/>
        <v>107.60718485812379</v>
      </c>
      <c r="Q42" s="282"/>
      <c r="T42" s="106"/>
    </row>
    <row r="43" spans="1:20" ht="17.25" customHeight="1">
      <c r="A43" s="280">
        <v>8</v>
      </c>
      <c r="B43" s="281" t="s">
        <v>349</v>
      </c>
      <c r="C43" s="279">
        <v>0</v>
      </c>
      <c r="D43" s="544">
        <v>23650</v>
      </c>
      <c r="E43" s="214">
        <f t="shared" si="4"/>
        <v>22099.841078000001</v>
      </c>
      <c r="F43" s="208">
        <f>12543.09383-G43</f>
        <v>12393.09383</v>
      </c>
      <c r="G43" s="208">
        <v>150</v>
      </c>
      <c r="H43" s="208"/>
      <c r="I43" s="208">
        <v>6445.4601480000001</v>
      </c>
      <c r="J43" s="214"/>
      <c r="K43" s="208"/>
      <c r="L43" s="208">
        <v>3261.2871</v>
      </c>
      <c r="M43" s="214"/>
      <c r="N43" s="208"/>
      <c r="O43" s="279">
        <v>0</v>
      </c>
      <c r="P43" s="214">
        <f t="shared" si="2"/>
        <v>93.445416820295989</v>
      </c>
      <c r="Q43" s="282"/>
      <c r="T43" s="106"/>
    </row>
    <row r="44" spans="1:20" ht="17.25" customHeight="1">
      <c r="A44" s="280">
        <v>9</v>
      </c>
      <c r="B44" s="281" t="s">
        <v>351</v>
      </c>
      <c r="C44" s="309">
        <v>65780</v>
      </c>
      <c r="D44" s="544">
        <v>79995</v>
      </c>
      <c r="E44" s="214">
        <f t="shared" si="4"/>
        <v>75088.071057000008</v>
      </c>
      <c r="F44" s="208">
        <v>29252.784916000001</v>
      </c>
      <c r="G44" s="208"/>
      <c r="H44" s="208"/>
      <c r="I44" s="208">
        <v>40228.215437999999</v>
      </c>
      <c r="J44" s="214"/>
      <c r="K44" s="208"/>
      <c r="L44" s="208">
        <v>5607.0707030000003</v>
      </c>
      <c r="M44" s="214"/>
      <c r="N44" s="208"/>
      <c r="O44" s="214">
        <f t="shared" si="1"/>
        <v>114.15030565065372</v>
      </c>
      <c r="P44" s="214">
        <f t="shared" si="2"/>
        <v>93.865955443465225</v>
      </c>
      <c r="Q44" s="282"/>
      <c r="T44" s="106"/>
    </row>
    <row r="45" spans="1:20" ht="17.25" customHeight="1">
      <c r="A45" s="280">
        <v>10</v>
      </c>
      <c r="B45" s="281" t="s">
        <v>353</v>
      </c>
      <c r="C45" s="279">
        <v>0</v>
      </c>
      <c r="D45" s="544">
        <v>1067598</v>
      </c>
      <c r="E45" s="214">
        <f t="shared" si="4"/>
        <v>981428.31561100006</v>
      </c>
      <c r="F45" s="208">
        <f>570587.549538-G45</f>
        <v>563124.19896800001</v>
      </c>
      <c r="G45" s="208">
        <f>7383.35057+80</f>
        <v>7463.3505699999996</v>
      </c>
      <c r="H45" s="208"/>
      <c r="I45" s="208">
        <f>333820.630023-J45</f>
        <v>332448.78602300002</v>
      </c>
      <c r="J45" s="214">
        <f>1249.22+12.624+110</f>
        <v>1371.8440000000001</v>
      </c>
      <c r="K45" s="208"/>
      <c r="L45" s="208">
        <f>91008.380926-M45</f>
        <v>85855.330619999993</v>
      </c>
      <c r="M45" s="214">
        <f>1229.102+2455.072+365.4+25.2+31.6+1046.676306</f>
        <v>5153.0503060000001</v>
      </c>
      <c r="N45" s="208"/>
      <c r="O45" s="279">
        <v>0</v>
      </c>
      <c r="P45" s="214">
        <f t="shared" si="2"/>
        <v>91.928639395259268</v>
      </c>
      <c r="Q45" s="282"/>
      <c r="R45" s="115"/>
      <c r="T45" s="106"/>
    </row>
    <row r="46" spans="1:20" ht="29.25" customHeight="1">
      <c r="A46" s="280">
        <v>11</v>
      </c>
      <c r="B46" s="296" t="s">
        <v>667</v>
      </c>
      <c r="C46" s="279">
        <v>0</v>
      </c>
      <c r="D46" s="544">
        <v>1104382</v>
      </c>
      <c r="E46" s="214">
        <f t="shared" si="4"/>
        <v>1233558.0818599998</v>
      </c>
      <c r="F46" s="208">
        <f>444879.882124-G46</f>
        <v>443111.46837199997</v>
      </c>
      <c r="G46" s="208">
        <f>1492.415752+80+195.998</f>
        <v>1768.4137520000002</v>
      </c>
      <c r="H46" s="208"/>
      <c r="I46" s="208">
        <f>259040.621315-J46</f>
        <v>258166.13031499999</v>
      </c>
      <c r="J46" s="214">
        <v>874.49099999999999</v>
      </c>
      <c r="K46" s="208"/>
      <c r="L46" s="208">
        <f>535486.310873-M46</f>
        <v>532280.48317299993</v>
      </c>
      <c r="M46" s="214">
        <f>1865.9272+1339.9005</f>
        <v>3205.8276999999998</v>
      </c>
      <c r="N46" s="208"/>
      <c r="O46" s="279">
        <v>0</v>
      </c>
      <c r="P46" s="214">
        <f t="shared" si="2"/>
        <v>111.69668483006785</v>
      </c>
      <c r="Q46" s="282"/>
      <c r="R46" s="115"/>
      <c r="T46" s="106"/>
    </row>
    <row r="47" spans="1:20" ht="17.25" customHeight="1">
      <c r="A47" s="280">
        <v>12</v>
      </c>
      <c r="B47" s="281" t="s">
        <v>357</v>
      </c>
      <c r="C47" s="279">
        <v>0</v>
      </c>
      <c r="D47" s="544">
        <v>231185</v>
      </c>
      <c r="E47" s="214">
        <f t="shared" si="4"/>
        <v>358868.13499399996</v>
      </c>
      <c r="F47" s="208">
        <v>45776.358121999998</v>
      </c>
      <c r="G47" s="208"/>
      <c r="H47" s="208"/>
      <c r="I47" s="208">
        <v>295100.32654699998</v>
      </c>
      <c r="J47" s="214"/>
      <c r="K47" s="208"/>
      <c r="L47" s="208">
        <f>19092.855325-M47</f>
        <v>17991.450325000002</v>
      </c>
      <c r="M47" s="214">
        <v>1101.405</v>
      </c>
      <c r="N47" s="208"/>
      <c r="O47" s="279">
        <v>0</v>
      </c>
      <c r="P47" s="214">
        <f t="shared" si="2"/>
        <v>155.22985271276249</v>
      </c>
      <c r="Q47" s="282"/>
      <c r="R47" s="200">
        <f>287180.488582+37667.779756+65018+488732</f>
        <v>878598.26833800005</v>
      </c>
      <c r="T47" s="106"/>
    </row>
    <row r="48" spans="1:20" ht="17.25" customHeight="1">
      <c r="A48" s="280">
        <v>13</v>
      </c>
      <c r="B48" s="281" t="s">
        <v>369</v>
      </c>
      <c r="C48" s="279">
        <v>0</v>
      </c>
      <c r="D48" s="544">
        <v>55185</v>
      </c>
      <c r="E48" s="214">
        <f t="shared" si="4"/>
        <v>65154.445589999901</v>
      </c>
      <c r="F48" s="208">
        <v>32045.958300999999</v>
      </c>
      <c r="G48" s="208"/>
      <c r="H48" s="208"/>
      <c r="I48" s="208">
        <f>30493.1920559999-J48</f>
        <v>30423.192055999902</v>
      </c>
      <c r="J48" s="214">
        <v>70</v>
      </c>
      <c r="K48" s="208"/>
      <c r="L48" s="208">
        <v>2685.2952329999998</v>
      </c>
      <c r="M48" s="214"/>
      <c r="N48" s="208"/>
      <c r="O48" s="279">
        <v>0</v>
      </c>
      <c r="P48" s="214">
        <f t="shared" si="2"/>
        <v>118.06549893992914</v>
      </c>
      <c r="Q48" s="282"/>
      <c r="T48" s="106"/>
    </row>
    <row r="49" spans="1:20" ht="17.25" hidden="1" customHeight="1">
      <c r="A49" s="269"/>
      <c r="B49" s="275"/>
      <c r="C49" s="541"/>
      <c r="D49" s="543"/>
      <c r="E49" s="273"/>
      <c r="F49" s="200"/>
      <c r="G49" s="200"/>
      <c r="H49" s="200"/>
      <c r="I49" s="200"/>
      <c r="J49" s="273"/>
      <c r="K49" s="200"/>
      <c r="L49" s="200"/>
      <c r="M49" s="273"/>
      <c r="N49" s="200"/>
      <c r="O49" s="273" t="e">
        <f t="shared" si="1"/>
        <v>#DIV/0!</v>
      </c>
      <c r="P49" s="273" t="e">
        <f t="shared" si="2"/>
        <v>#DIV/0!</v>
      </c>
      <c r="Q49" s="282"/>
      <c r="T49" s="106"/>
    </row>
    <row r="50" spans="1:20" ht="17.25" hidden="1" customHeight="1">
      <c r="A50" s="269"/>
      <c r="B50" s="275"/>
      <c r="C50" s="541"/>
      <c r="D50" s="543"/>
      <c r="E50" s="273"/>
      <c r="F50" s="200"/>
      <c r="G50" s="200"/>
      <c r="H50" s="200"/>
      <c r="I50" s="200"/>
      <c r="J50" s="273"/>
      <c r="K50" s="200"/>
      <c r="L50" s="200"/>
      <c r="M50" s="273"/>
      <c r="N50" s="200"/>
      <c r="O50" s="273" t="e">
        <f t="shared" si="1"/>
        <v>#DIV/0!</v>
      </c>
      <c r="P50" s="273" t="e">
        <f t="shared" si="2"/>
        <v>#DIV/0!</v>
      </c>
      <c r="Q50" s="282"/>
      <c r="T50" s="106"/>
    </row>
    <row r="51" spans="1:20" ht="18.75" hidden="1" customHeight="1">
      <c r="A51" s="281">
        <v>1</v>
      </c>
      <c r="B51" s="281" t="s">
        <v>370</v>
      </c>
      <c r="C51" s="309"/>
      <c r="D51" s="289"/>
      <c r="E51" s="214">
        <f>F51+I51+L51</f>
        <v>0</v>
      </c>
      <c r="F51" s="208"/>
      <c r="G51" s="208"/>
      <c r="H51" s="208"/>
      <c r="I51" s="214"/>
      <c r="J51" s="214"/>
      <c r="K51" s="208"/>
      <c r="L51" s="214"/>
      <c r="M51" s="214"/>
      <c r="N51" s="208"/>
      <c r="O51" s="273" t="e">
        <f t="shared" si="1"/>
        <v>#DIV/0!</v>
      </c>
      <c r="P51" s="273" t="e">
        <f t="shared" si="2"/>
        <v>#DIV/0!</v>
      </c>
      <c r="Q51" s="282"/>
      <c r="T51" s="106"/>
    </row>
    <row r="52" spans="1:20" ht="15.75" hidden="1" customHeight="1">
      <c r="A52" s="281">
        <v>2</v>
      </c>
      <c r="B52" s="281" t="s">
        <v>371</v>
      </c>
      <c r="C52" s="309"/>
      <c r="D52" s="289"/>
      <c r="E52" s="214">
        <f>SUM(E53:E55)</f>
        <v>0</v>
      </c>
      <c r="F52" s="208">
        <f t="shared" ref="F52:N52" si="5">+F53+F54+F55</f>
        <v>0</v>
      </c>
      <c r="G52" s="208">
        <f t="shared" si="5"/>
        <v>0</v>
      </c>
      <c r="H52" s="208">
        <f t="shared" si="5"/>
        <v>0</v>
      </c>
      <c r="I52" s="214">
        <f t="shared" si="5"/>
        <v>0</v>
      </c>
      <c r="J52" s="214">
        <f t="shared" si="5"/>
        <v>0</v>
      </c>
      <c r="K52" s="208">
        <f t="shared" si="5"/>
        <v>0</v>
      </c>
      <c r="L52" s="214">
        <f t="shared" si="5"/>
        <v>0</v>
      </c>
      <c r="M52" s="214">
        <f t="shared" si="5"/>
        <v>0</v>
      </c>
      <c r="N52" s="208">
        <f t="shared" si="5"/>
        <v>0</v>
      </c>
      <c r="O52" s="273" t="e">
        <f t="shared" si="1"/>
        <v>#DIV/0!</v>
      </c>
      <c r="P52" s="273" t="e">
        <f t="shared" si="2"/>
        <v>#DIV/0!</v>
      </c>
      <c r="Q52" s="282"/>
      <c r="T52" s="297"/>
    </row>
    <row r="53" spans="1:20" ht="15.75" hidden="1" customHeight="1">
      <c r="A53" s="291" t="s">
        <v>372</v>
      </c>
      <c r="B53" s="283" t="s">
        <v>373</v>
      </c>
      <c r="C53" s="545"/>
      <c r="D53" s="284"/>
      <c r="E53" s="285">
        <f t="shared" ref="E53:E66" si="6">F53+I53+L53</f>
        <v>0</v>
      </c>
      <c r="F53" s="286"/>
      <c r="G53" s="286"/>
      <c r="H53" s="286"/>
      <c r="I53" s="285"/>
      <c r="J53" s="285"/>
      <c r="K53" s="286"/>
      <c r="L53" s="285"/>
      <c r="M53" s="285"/>
      <c r="N53" s="286"/>
      <c r="O53" s="273" t="e">
        <f t="shared" si="1"/>
        <v>#DIV/0!</v>
      </c>
      <c r="P53" s="273" t="e">
        <f t="shared" si="2"/>
        <v>#DIV/0!</v>
      </c>
      <c r="Q53" s="282"/>
      <c r="R53" s="106"/>
    </row>
    <row r="54" spans="1:20" ht="15.75" hidden="1" customHeight="1">
      <c r="A54" s="291" t="s">
        <v>374</v>
      </c>
      <c r="B54" s="283" t="s">
        <v>375</v>
      </c>
      <c r="C54" s="545"/>
      <c r="D54" s="284"/>
      <c r="E54" s="285">
        <f t="shared" si="6"/>
        <v>0</v>
      </c>
      <c r="F54" s="286"/>
      <c r="G54" s="286"/>
      <c r="H54" s="286"/>
      <c r="I54" s="285"/>
      <c r="J54" s="285"/>
      <c r="K54" s="286"/>
      <c r="L54" s="285"/>
      <c r="M54" s="285"/>
      <c r="N54" s="286"/>
      <c r="O54" s="273" t="e">
        <f t="shared" si="1"/>
        <v>#DIV/0!</v>
      </c>
      <c r="P54" s="273" t="e">
        <f t="shared" si="2"/>
        <v>#DIV/0!</v>
      </c>
      <c r="Q54" s="282"/>
    </row>
    <row r="55" spans="1:20" ht="15.75" hidden="1" customHeight="1">
      <c r="A55" s="291" t="s">
        <v>376</v>
      </c>
      <c r="B55" s="283" t="s">
        <v>377</v>
      </c>
      <c r="C55" s="545"/>
      <c r="D55" s="284"/>
      <c r="E55" s="285">
        <f t="shared" si="6"/>
        <v>0</v>
      </c>
      <c r="F55" s="286"/>
      <c r="G55" s="286"/>
      <c r="H55" s="286"/>
      <c r="I55" s="285"/>
      <c r="J55" s="546"/>
      <c r="K55" s="286"/>
      <c r="L55" s="285"/>
      <c r="M55" s="285"/>
      <c r="N55" s="286"/>
      <c r="O55" s="273" t="e">
        <f t="shared" si="1"/>
        <v>#DIV/0!</v>
      </c>
      <c r="P55" s="273" t="e">
        <f t="shared" si="2"/>
        <v>#DIV/0!</v>
      </c>
      <c r="Q55" s="282"/>
    </row>
    <row r="56" spans="1:20" ht="15.75" hidden="1" customHeight="1">
      <c r="A56" s="281">
        <v>3</v>
      </c>
      <c r="B56" s="281" t="s">
        <v>378</v>
      </c>
      <c r="C56" s="309"/>
      <c r="D56" s="289"/>
      <c r="E56" s="208">
        <f t="shared" si="6"/>
        <v>0</v>
      </c>
      <c r="F56" s="208">
        <f>+F57+F58+F59</f>
        <v>0</v>
      </c>
      <c r="G56" s="208">
        <f>+G57+G58+G59</f>
        <v>0</v>
      </c>
      <c r="H56" s="208">
        <f>+H57</f>
        <v>0</v>
      </c>
      <c r="I56" s="214">
        <f>+I57+I58+I59</f>
        <v>0</v>
      </c>
      <c r="J56" s="214">
        <f>+J57</f>
        <v>0</v>
      </c>
      <c r="K56" s="208">
        <f>+K57</f>
        <v>0</v>
      </c>
      <c r="L56" s="214">
        <f>+L57+L58+L59</f>
        <v>0</v>
      </c>
      <c r="M56" s="214">
        <f>+M57+M58+M59</f>
        <v>0</v>
      </c>
      <c r="N56" s="208"/>
      <c r="O56" s="273" t="e">
        <f t="shared" si="1"/>
        <v>#DIV/0!</v>
      </c>
      <c r="P56" s="273" t="e">
        <f t="shared" si="2"/>
        <v>#DIV/0!</v>
      </c>
      <c r="Q56" s="282"/>
    </row>
    <row r="57" spans="1:20" ht="15.75" hidden="1" customHeight="1">
      <c r="A57" s="291" t="s">
        <v>379</v>
      </c>
      <c r="B57" s="283" t="s">
        <v>380</v>
      </c>
      <c r="C57" s="545"/>
      <c r="D57" s="284"/>
      <c r="E57" s="285">
        <f t="shared" si="6"/>
        <v>0</v>
      </c>
      <c r="F57" s="286"/>
      <c r="G57" s="286"/>
      <c r="H57" s="286"/>
      <c r="I57" s="285"/>
      <c r="J57" s="285"/>
      <c r="K57" s="286"/>
      <c r="L57" s="285"/>
      <c r="M57" s="285"/>
      <c r="N57" s="286"/>
      <c r="O57" s="273" t="e">
        <f t="shared" si="1"/>
        <v>#DIV/0!</v>
      </c>
      <c r="P57" s="273" t="e">
        <f t="shared" si="2"/>
        <v>#DIV/0!</v>
      </c>
      <c r="Q57" s="282"/>
    </row>
    <row r="58" spans="1:20" ht="15.75" hidden="1" customHeight="1">
      <c r="A58" s="291" t="s">
        <v>381</v>
      </c>
      <c r="B58" s="283" t="s">
        <v>382</v>
      </c>
      <c r="C58" s="545"/>
      <c r="D58" s="284"/>
      <c r="E58" s="285">
        <f t="shared" si="6"/>
        <v>0</v>
      </c>
      <c r="F58" s="286"/>
      <c r="G58" s="286"/>
      <c r="H58" s="286"/>
      <c r="I58" s="285"/>
      <c r="J58" s="285"/>
      <c r="K58" s="286"/>
      <c r="L58" s="285"/>
      <c r="M58" s="285"/>
      <c r="N58" s="286"/>
      <c r="O58" s="273" t="e">
        <f t="shared" si="1"/>
        <v>#DIV/0!</v>
      </c>
      <c r="P58" s="273" t="e">
        <f t="shared" si="2"/>
        <v>#DIV/0!</v>
      </c>
      <c r="Q58" s="282"/>
    </row>
    <row r="59" spans="1:20" ht="15.75" hidden="1" customHeight="1">
      <c r="A59" s="291" t="s">
        <v>383</v>
      </c>
      <c r="B59" s="283" t="s">
        <v>384</v>
      </c>
      <c r="C59" s="545"/>
      <c r="D59" s="284"/>
      <c r="E59" s="285">
        <f t="shared" si="6"/>
        <v>0</v>
      </c>
      <c r="F59" s="286"/>
      <c r="G59" s="286"/>
      <c r="H59" s="286"/>
      <c r="I59" s="285"/>
      <c r="J59" s="547"/>
      <c r="K59" s="286"/>
      <c r="L59" s="285"/>
      <c r="M59" s="285"/>
      <c r="N59" s="286"/>
      <c r="O59" s="273" t="e">
        <f t="shared" si="1"/>
        <v>#DIV/0!</v>
      </c>
      <c r="P59" s="273" t="e">
        <f t="shared" si="2"/>
        <v>#DIV/0!</v>
      </c>
      <c r="Q59" s="282"/>
    </row>
    <row r="60" spans="1:20" ht="15.75" hidden="1" customHeight="1">
      <c r="A60" s="281">
        <v>4</v>
      </c>
      <c r="B60" s="281" t="s">
        <v>385</v>
      </c>
      <c r="C60" s="309"/>
      <c r="D60" s="289"/>
      <c r="E60" s="214">
        <f t="shared" si="6"/>
        <v>0</v>
      </c>
      <c r="F60" s="208"/>
      <c r="G60" s="208"/>
      <c r="H60" s="208"/>
      <c r="I60" s="214"/>
      <c r="J60" s="214"/>
      <c r="K60" s="208"/>
      <c r="L60" s="214"/>
      <c r="M60" s="214"/>
      <c r="N60" s="208"/>
      <c r="O60" s="273" t="e">
        <f t="shared" si="1"/>
        <v>#DIV/0!</v>
      </c>
      <c r="P60" s="273" t="e">
        <f t="shared" si="2"/>
        <v>#DIV/0!</v>
      </c>
      <c r="Q60" s="282"/>
    </row>
    <row r="61" spans="1:20" ht="15.75" hidden="1" customHeight="1">
      <c r="A61" s="281">
        <v>5</v>
      </c>
      <c r="B61" s="281" t="s">
        <v>386</v>
      </c>
      <c r="C61" s="309"/>
      <c r="D61" s="289"/>
      <c r="E61" s="214">
        <f t="shared" si="6"/>
        <v>0</v>
      </c>
      <c r="F61" s="208"/>
      <c r="G61" s="208"/>
      <c r="H61" s="208"/>
      <c r="I61" s="214"/>
      <c r="J61" s="214"/>
      <c r="K61" s="208"/>
      <c r="L61" s="214"/>
      <c r="M61" s="214"/>
      <c r="N61" s="208"/>
      <c r="O61" s="273" t="e">
        <f t="shared" si="1"/>
        <v>#DIV/0!</v>
      </c>
      <c r="P61" s="273" t="e">
        <f t="shared" si="2"/>
        <v>#DIV/0!</v>
      </c>
      <c r="Q61" s="282"/>
    </row>
    <row r="62" spans="1:20" ht="15.75" hidden="1" customHeight="1">
      <c r="A62" s="281">
        <v>6</v>
      </c>
      <c r="B62" s="281" t="s">
        <v>387</v>
      </c>
      <c r="C62" s="309"/>
      <c r="D62" s="289"/>
      <c r="E62" s="214">
        <f t="shared" si="6"/>
        <v>0</v>
      </c>
      <c r="F62" s="208"/>
      <c r="G62" s="208"/>
      <c r="H62" s="208"/>
      <c r="I62" s="214"/>
      <c r="J62" s="214"/>
      <c r="K62" s="208"/>
      <c r="L62" s="214"/>
      <c r="M62" s="214"/>
      <c r="N62" s="208"/>
      <c r="O62" s="273" t="e">
        <f t="shared" si="1"/>
        <v>#DIV/0!</v>
      </c>
      <c r="P62" s="273" t="e">
        <f t="shared" si="2"/>
        <v>#DIV/0!</v>
      </c>
      <c r="Q62" s="282"/>
    </row>
    <row r="63" spans="1:20" ht="15.75" hidden="1" customHeight="1">
      <c r="A63" s="288">
        <v>7</v>
      </c>
      <c r="B63" s="281" t="s">
        <v>388</v>
      </c>
      <c r="C63" s="309"/>
      <c r="D63" s="289"/>
      <c r="E63" s="214">
        <f t="shared" si="6"/>
        <v>0</v>
      </c>
      <c r="F63" s="208"/>
      <c r="G63" s="208"/>
      <c r="H63" s="208"/>
      <c r="I63" s="214"/>
      <c r="J63" s="214"/>
      <c r="K63" s="208"/>
      <c r="L63" s="214"/>
      <c r="M63" s="214"/>
      <c r="N63" s="208"/>
      <c r="O63" s="273" t="e">
        <f t="shared" si="1"/>
        <v>#DIV/0!</v>
      </c>
      <c r="P63" s="273" t="e">
        <f t="shared" si="2"/>
        <v>#DIV/0!</v>
      </c>
      <c r="Q63" s="282"/>
    </row>
    <row r="64" spans="1:20" ht="15.75" hidden="1" customHeight="1">
      <c r="A64" s="288">
        <v>8</v>
      </c>
      <c r="B64" s="281" t="s">
        <v>389</v>
      </c>
      <c r="C64" s="309"/>
      <c r="D64" s="289"/>
      <c r="E64" s="214">
        <f t="shared" si="6"/>
        <v>0</v>
      </c>
      <c r="F64" s="208"/>
      <c r="G64" s="208"/>
      <c r="H64" s="208"/>
      <c r="I64" s="214"/>
      <c r="J64" s="214"/>
      <c r="K64" s="208"/>
      <c r="L64" s="214"/>
      <c r="M64" s="214"/>
      <c r="N64" s="208"/>
      <c r="O64" s="273" t="e">
        <f t="shared" si="1"/>
        <v>#DIV/0!</v>
      </c>
      <c r="P64" s="273" t="e">
        <f t="shared" si="2"/>
        <v>#DIV/0!</v>
      </c>
      <c r="Q64" s="282"/>
    </row>
    <row r="65" spans="1:20" ht="15.75" hidden="1" customHeight="1">
      <c r="A65" s="281">
        <v>9</v>
      </c>
      <c r="B65" s="281" t="s">
        <v>390</v>
      </c>
      <c r="C65" s="309"/>
      <c r="D65" s="289"/>
      <c r="E65" s="214">
        <f t="shared" si="6"/>
        <v>0</v>
      </c>
      <c r="F65" s="208"/>
      <c r="G65" s="208"/>
      <c r="H65" s="208"/>
      <c r="I65" s="214"/>
      <c r="J65" s="214"/>
      <c r="K65" s="208"/>
      <c r="L65" s="214"/>
      <c r="M65" s="214"/>
      <c r="N65" s="208"/>
      <c r="O65" s="273" t="e">
        <f t="shared" si="1"/>
        <v>#DIV/0!</v>
      </c>
      <c r="P65" s="273" t="e">
        <f t="shared" si="2"/>
        <v>#DIV/0!</v>
      </c>
      <c r="Q65" s="282"/>
    </row>
    <row r="66" spans="1:20" ht="16.5" hidden="1" customHeight="1">
      <c r="A66" s="281">
        <v>10</v>
      </c>
      <c r="B66" s="281" t="s">
        <v>391</v>
      </c>
      <c r="C66" s="309"/>
      <c r="D66" s="295"/>
      <c r="E66" s="214">
        <f t="shared" si="6"/>
        <v>0</v>
      </c>
      <c r="F66" s="208"/>
      <c r="G66" s="208"/>
      <c r="H66" s="208"/>
      <c r="I66" s="214"/>
      <c r="J66" s="214"/>
      <c r="K66" s="208"/>
      <c r="L66" s="214"/>
      <c r="M66" s="214"/>
      <c r="N66" s="208"/>
      <c r="O66" s="273" t="e">
        <f t="shared" si="1"/>
        <v>#DIV/0!</v>
      </c>
      <c r="P66" s="273" t="e">
        <f t="shared" si="2"/>
        <v>#DIV/0!</v>
      </c>
      <c r="Q66" s="282"/>
    </row>
    <row r="67" spans="1:20" ht="16.5" hidden="1" customHeight="1">
      <c r="A67" s="281">
        <v>11</v>
      </c>
      <c r="B67" s="281" t="s">
        <v>392</v>
      </c>
      <c r="C67" s="309"/>
      <c r="D67" s="289"/>
      <c r="E67" s="214">
        <f>+E68+E69+E70</f>
        <v>0</v>
      </c>
      <c r="F67" s="208">
        <f>+F68+F69+F70</f>
        <v>0</v>
      </c>
      <c r="G67" s="208">
        <f>+G68+G69+G70</f>
        <v>0</v>
      </c>
      <c r="H67" s="208">
        <f>+H68+H69+H70</f>
        <v>0</v>
      </c>
      <c r="I67" s="214">
        <f>+I68+I69+I70</f>
        <v>0</v>
      </c>
      <c r="J67" s="214">
        <f>+J68</f>
        <v>0</v>
      </c>
      <c r="K67" s="208"/>
      <c r="L67" s="214">
        <f>+L68+L69+L70</f>
        <v>0</v>
      </c>
      <c r="M67" s="214">
        <f>+M68</f>
        <v>0</v>
      </c>
      <c r="N67" s="208"/>
      <c r="O67" s="273" t="e">
        <f t="shared" si="1"/>
        <v>#DIV/0!</v>
      </c>
      <c r="P67" s="273" t="e">
        <f t="shared" si="2"/>
        <v>#DIV/0!</v>
      </c>
      <c r="Q67" s="282"/>
    </row>
    <row r="68" spans="1:20" ht="16.5" hidden="1" customHeight="1">
      <c r="A68" s="291" t="s">
        <v>393</v>
      </c>
      <c r="B68" s="283" t="s">
        <v>394</v>
      </c>
      <c r="C68" s="545"/>
      <c r="D68" s="289"/>
      <c r="E68" s="285">
        <f t="shared" ref="E68:E75" si="7">F68+I68+L68</f>
        <v>0</v>
      </c>
      <c r="F68" s="286"/>
      <c r="G68" s="286"/>
      <c r="H68" s="286"/>
      <c r="I68" s="285"/>
      <c r="J68" s="285"/>
      <c r="K68" s="286"/>
      <c r="L68" s="285"/>
      <c r="M68" s="285"/>
      <c r="N68" s="286"/>
      <c r="O68" s="273" t="e">
        <f t="shared" si="1"/>
        <v>#DIV/0!</v>
      </c>
      <c r="P68" s="273" t="e">
        <f t="shared" si="2"/>
        <v>#DIV/0!</v>
      </c>
      <c r="Q68" s="282"/>
    </row>
    <row r="69" spans="1:20" ht="16.5" hidden="1" customHeight="1">
      <c r="A69" s="291" t="s">
        <v>395</v>
      </c>
      <c r="B69" s="283" t="s">
        <v>396</v>
      </c>
      <c r="C69" s="545"/>
      <c r="D69" s="284"/>
      <c r="E69" s="285">
        <f t="shared" si="7"/>
        <v>0</v>
      </c>
      <c r="F69" s="286"/>
      <c r="G69" s="286"/>
      <c r="H69" s="286"/>
      <c r="I69" s="285"/>
      <c r="J69" s="285"/>
      <c r="K69" s="286"/>
      <c r="L69" s="285"/>
      <c r="M69" s="285"/>
      <c r="N69" s="286"/>
      <c r="O69" s="273" t="e">
        <f t="shared" si="1"/>
        <v>#DIV/0!</v>
      </c>
      <c r="P69" s="273" t="e">
        <f t="shared" si="2"/>
        <v>#DIV/0!</v>
      </c>
      <c r="Q69" s="282"/>
    </row>
    <row r="70" spans="1:20" ht="16.5" hidden="1" customHeight="1">
      <c r="A70" s="291" t="s">
        <v>397</v>
      </c>
      <c r="B70" s="283" t="s">
        <v>398</v>
      </c>
      <c r="C70" s="545"/>
      <c r="D70" s="284"/>
      <c r="E70" s="285">
        <f t="shared" si="7"/>
        <v>0</v>
      </c>
      <c r="F70" s="286"/>
      <c r="G70" s="286"/>
      <c r="H70" s="286"/>
      <c r="I70" s="285"/>
      <c r="J70" s="285"/>
      <c r="K70" s="286"/>
      <c r="L70" s="285"/>
      <c r="M70" s="285"/>
      <c r="N70" s="286"/>
      <c r="O70" s="273" t="e">
        <f t="shared" si="1"/>
        <v>#DIV/0!</v>
      </c>
      <c r="P70" s="273" t="e">
        <f t="shared" si="2"/>
        <v>#DIV/0!</v>
      </c>
      <c r="Q70" s="282"/>
    </row>
    <row r="71" spans="1:20" ht="16.5" hidden="1" customHeight="1">
      <c r="A71" s="288">
        <v>12</v>
      </c>
      <c r="B71" s="281" t="s">
        <v>335</v>
      </c>
      <c r="C71" s="309"/>
      <c r="D71" s="289"/>
      <c r="E71" s="214">
        <f t="shared" si="7"/>
        <v>0</v>
      </c>
      <c r="F71" s="208"/>
      <c r="G71" s="208"/>
      <c r="H71" s="208"/>
      <c r="I71" s="214"/>
      <c r="J71" s="214"/>
      <c r="K71" s="208"/>
      <c r="L71" s="214"/>
      <c r="M71" s="214"/>
      <c r="N71" s="208"/>
      <c r="O71" s="273" t="e">
        <f t="shared" si="1"/>
        <v>#DIV/0!</v>
      </c>
      <c r="P71" s="273" t="e">
        <f t="shared" si="2"/>
        <v>#DIV/0!</v>
      </c>
      <c r="Q71" s="282" t="e">
        <f>+E71/"#REF!*100"</f>
        <v>#VALUE!</v>
      </c>
    </row>
    <row r="72" spans="1:20" ht="16.5" hidden="1" customHeight="1">
      <c r="A72" s="288">
        <v>13</v>
      </c>
      <c r="B72" s="281" t="s">
        <v>399</v>
      </c>
      <c r="C72" s="309"/>
      <c r="D72" s="295"/>
      <c r="E72" s="214">
        <f t="shared" si="7"/>
        <v>0</v>
      </c>
      <c r="F72" s="208"/>
      <c r="G72" s="208"/>
      <c r="H72" s="208"/>
      <c r="I72" s="214"/>
      <c r="J72" s="214"/>
      <c r="K72" s="208"/>
      <c r="L72" s="214"/>
      <c r="M72" s="214"/>
      <c r="N72" s="208"/>
      <c r="O72" s="273" t="e">
        <f t="shared" si="1"/>
        <v>#DIV/0!</v>
      </c>
      <c r="P72" s="273" t="e">
        <f t="shared" si="2"/>
        <v>#DIV/0!</v>
      </c>
      <c r="Q72" s="282" t="e">
        <f>+E72/"#REF!*100"</f>
        <v>#VALUE!</v>
      </c>
    </row>
    <row r="73" spans="1:20" s="299" customFormat="1" ht="15" hidden="1" customHeight="1">
      <c r="A73" s="281">
        <v>12</v>
      </c>
      <c r="B73" s="281" t="s">
        <v>369</v>
      </c>
      <c r="C73" s="309"/>
      <c r="D73" s="289"/>
      <c r="E73" s="214">
        <f t="shared" si="7"/>
        <v>0</v>
      </c>
      <c r="F73" s="208"/>
      <c r="G73" s="208"/>
      <c r="H73" s="208"/>
      <c r="I73" s="214"/>
      <c r="J73" s="214"/>
      <c r="K73" s="208"/>
      <c r="L73" s="214"/>
      <c r="M73" s="285"/>
      <c r="N73" s="208"/>
      <c r="O73" s="273" t="e">
        <f t="shared" si="1"/>
        <v>#DIV/0!</v>
      </c>
      <c r="P73" s="273" t="e">
        <f t="shared" si="2"/>
        <v>#DIV/0!</v>
      </c>
      <c r="Q73" s="298" t="e">
        <f>+E73/"#REF!*100"</f>
        <v>#VALUE!</v>
      </c>
    </row>
    <row r="74" spans="1:20" s="299" customFormat="1" ht="17.25" hidden="1" customHeight="1">
      <c r="A74" s="269" t="s">
        <v>130</v>
      </c>
      <c r="B74" s="275" t="s">
        <v>400</v>
      </c>
      <c r="C74" s="541"/>
      <c r="D74" s="276"/>
      <c r="E74" s="273">
        <f t="shared" si="7"/>
        <v>0</v>
      </c>
      <c r="F74" s="200"/>
      <c r="G74" s="200"/>
      <c r="H74" s="200"/>
      <c r="I74" s="273"/>
      <c r="J74" s="273"/>
      <c r="K74" s="200"/>
      <c r="L74" s="273"/>
      <c r="M74" s="273"/>
      <c r="N74" s="200"/>
      <c r="O74" s="273" t="e">
        <f>E74/C74*100</f>
        <v>#DIV/0!</v>
      </c>
      <c r="P74" s="273" t="e">
        <f>E74/D74*100</f>
        <v>#DIV/0!</v>
      </c>
      <c r="Q74" s="298"/>
    </row>
    <row r="75" spans="1:20" s="299" customFormat="1" ht="17.25" customHeight="1">
      <c r="A75" s="269" t="s">
        <v>401</v>
      </c>
      <c r="B75" s="275" t="s">
        <v>64</v>
      </c>
      <c r="C75" s="541">
        <v>1000</v>
      </c>
      <c r="D75" s="276">
        <v>1000</v>
      </c>
      <c r="E75" s="273">
        <f t="shared" si="7"/>
        <v>1000</v>
      </c>
      <c r="F75" s="200">
        <v>1000</v>
      </c>
      <c r="G75" s="200"/>
      <c r="H75" s="200"/>
      <c r="I75" s="273"/>
      <c r="J75" s="273"/>
      <c r="K75" s="200"/>
      <c r="L75" s="273"/>
      <c r="M75" s="273"/>
      <c r="N75" s="200"/>
      <c r="O75" s="273">
        <f>E75/C75*100</f>
        <v>100</v>
      </c>
      <c r="P75" s="273">
        <f>E75/D75*100</f>
        <v>100</v>
      </c>
      <c r="Q75" s="298"/>
      <c r="R75" s="300"/>
    </row>
    <row r="76" spans="1:20" s="299" customFormat="1" ht="17.25" customHeight="1">
      <c r="A76" s="269" t="s">
        <v>402</v>
      </c>
      <c r="B76" s="275" t="s">
        <v>403</v>
      </c>
      <c r="C76" s="541">
        <v>140920</v>
      </c>
      <c r="D76" s="276">
        <v>140920</v>
      </c>
      <c r="E76" s="279">
        <v>0</v>
      </c>
      <c r="F76" s="279">
        <v>0</v>
      </c>
      <c r="G76" s="279"/>
      <c r="H76" s="279"/>
      <c r="I76" s="279">
        <v>0</v>
      </c>
      <c r="J76" s="279"/>
      <c r="K76" s="279"/>
      <c r="L76" s="279">
        <v>0</v>
      </c>
      <c r="M76" s="273"/>
      <c r="N76" s="200"/>
      <c r="O76" s="273">
        <f>E76/C76*100</f>
        <v>0</v>
      </c>
      <c r="P76" s="273">
        <f>E76/D76*100</f>
        <v>0</v>
      </c>
      <c r="Q76" s="298"/>
    </row>
    <row r="77" spans="1:20" s="299" customFormat="1" ht="17.25" customHeight="1">
      <c r="A77" s="269" t="s">
        <v>404</v>
      </c>
      <c r="B77" s="275" t="s">
        <v>405</v>
      </c>
      <c r="C77" s="541"/>
      <c r="D77" s="276"/>
      <c r="E77" s="273">
        <f>F77+I77+L77</f>
        <v>1076220.2512020001</v>
      </c>
      <c r="F77" s="561">
        <v>868431.32582499995</v>
      </c>
      <c r="G77" s="200"/>
      <c r="H77" s="200"/>
      <c r="I77" s="200">
        <v>168512.56127999999</v>
      </c>
      <c r="J77" s="200"/>
      <c r="K77" s="200"/>
      <c r="L77" s="200">
        <v>39276.364096999998</v>
      </c>
      <c r="M77" s="273"/>
      <c r="N77" s="200"/>
      <c r="O77" s="273"/>
      <c r="P77" s="273"/>
      <c r="Q77" s="298"/>
      <c r="R77" s="299">
        <v>1</v>
      </c>
      <c r="S77" s="299">
        <v>3442.2</v>
      </c>
    </row>
    <row r="78" spans="1:20" s="299" customFormat="1" ht="16.5" customHeight="1">
      <c r="A78" s="269" t="s">
        <v>406</v>
      </c>
      <c r="B78" s="275" t="s">
        <v>407</v>
      </c>
      <c r="C78" s="279">
        <v>0</v>
      </c>
      <c r="D78" s="279">
        <v>0</v>
      </c>
      <c r="E78" s="279">
        <v>0</v>
      </c>
      <c r="F78" s="279">
        <v>0</v>
      </c>
      <c r="G78" s="279"/>
      <c r="H78" s="279"/>
      <c r="I78" s="279">
        <v>0</v>
      </c>
      <c r="J78" s="279"/>
      <c r="K78" s="279"/>
      <c r="L78" s="279">
        <v>0</v>
      </c>
      <c r="M78" s="279"/>
      <c r="N78" s="279"/>
      <c r="O78" s="279">
        <v>0</v>
      </c>
      <c r="P78" s="279">
        <v>0</v>
      </c>
      <c r="Q78" s="298" t="e">
        <f>+E78/"#REF!*100"</f>
        <v>#VALUE!</v>
      </c>
      <c r="R78" s="299">
        <v>2</v>
      </c>
      <c r="S78" s="299">
        <v>28281.599999999999</v>
      </c>
      <c r="T78" s="299">
        <v>5205.3999999999996</v>
      </c>
    </row>
    <row r="79" spans="1:20" s="299" customFormat="1" ht="17.25" hidden="1" customHeight="1">
      <c r="A79" s="269" t="s">
        <v>406</v>
      </c>
      <c r="B79" s="275" t="s">
        <v>133</v>
      </c>
      <c r="C79" s="548"/>
      <c r="D79" s="276"/>
      <c r="E79" s="273"/>
      <c r="F79" s="200"/>
      <c r="G79" s="200"/>
      <c r="H79" s="200"/>
      <c r="I79" s="273"/>
      <c r="J79" s="273"/>
      <c r="K79" s="200"/>
      <c r="L79" s="273"/>
      <c r="M79" s="273"/>
      <c r="N79" s="200"/>
      <c r="O79" s="273"/>
      <c r="P79" s="273"/>
      <c r="Q79" s="282" t="e">
        <f>+E79/"#REF!*100"</f>
        <v>#VALUE!</v>
      </c>
      <c r="R79" s="299">
        <v>3</v>
      </c>
      <c r="S79" s="299">
        <v>23653.454000000002</v>
      </c>
    </row>
    <row r="80" spans="1:20" s="299" customFormat="1" ht="18" customHeight="1">
      <c r="A80" s="269" t="s">
        <v>408</v>
      </c>
      <c r="B80" s="275" t="s">
        <v>409</v>
      </c>
      <c r="C80" s="549">
        <f>+C81+C90</f>
        <v>632462</v>
      </c>
      <c r="D80" s="549">
        <f>+D81+D90</f>
        <v>632462</v>
      </c>
      <c r="E80" s="200">
        <f>F80+I80+L80</f>
        <v>844435.17315899988</v>
      </c>
      <c r="F80" s="200">
        <f>F81+F90</f>
        <v>735330.57128199993</v>
      </c>
      <c r="G80" s="200">
        <f t="shared" ref="G80:N80" si="8">G81+G90</f>
        <v>12289.712349000001</v>
      </c>
      <c r="H80" s="200">
        <f>H81+H90</f>
        <v>723040.85893299989</v>
      </c>
      <c r="I80" s="200">
        <f t="shared" si="8"/>
        <v>18772.600730999999</v>
      </c>
      <c r="J80" s="200">
        <f t="shared" si="8"/>
        <v>6184.9527999999991</v>
      </c>
      <c r="K80" s="200">
        <f t="shared" si="8"/>
        <v>12587.647931</v>
      </c>
      <c r="L80" s="200">
        <f t="shared" si="8"/>
        <v>90332.001145999995</v>
      </c>
      <c r="M80" s="273">
        <f t="shared" si="8"/>
        <v>9460.2830059999997</v>
      </c>
      <c r="N80" s="200">
        <f t="shared" si="8"/>
        <v>80871.718139999997</v>
      </c>
      <c r="O80" s="273">
        <f>E80/C80*100</f>
        <v>133.5155587464543</v>
      </c>
      <c r="P80" s="273">
        <f>E80/D80*100</f>
        <v>133.5155587464543</v>
      </c>
      <c r="Q80" s="282" t="e">
        <f>+E80/"#REF!*100"</f>
        <v>#VALUE!</v>
      </c>
      <c r="R80" s="301">
        <f>+H80+K80+N80</f>
        <v>816500.22500399989</v>
      </c>
      <c r="S80" s="299">
        <v>4914</v>
      </c>
    </row>
    <row r="81" spans="1:20" s="299" customFormat="1" ht="16.5" customHeight="1">
      <c r="A81" s="280">
        <v>1</v>
      </c>
      <c r="B81" s="281" t="s">
        <v>410</v>
      </c>
      <c r="C81" s="544">
        <f>SUM(C82:C89)</f>
        <v>125042</v>
      </c>
      <c r="D81" s="544">
        <v>125042</v>
      </c>
      <c r="E81" s="214">
        <f t="shared" ref="E81:L81" si="9">SUM(E82:E89)</f>
        <v>121394.314226</v>
      </c>
      <c r="F81" s="208">
        <f t="shared" si="9"/>
        <v>12289.712349000001</v>
      </c>
      <c r="G81" s="208">
        <f t="shared" si="9"/>
        <v>12289.712349000001</v>
      </c>
      <c r="H81" s="208">
        <f>SUM(H82:H89)</f>
        <v>0</v>
      </c>
      <c r="I81" s="214">
        <f t="shared" si="9"/>
        <v>18772.600730999999</v>
      </c>
      <c r="J81" s="214">
        <f t="shared" si="9"/>
        <v>6184.9527999999991</v>
      </c>
      <c r="K81" s="208">
        <f t="shared" si="9"/>
        <v>12587.647931</v>
      </c>
      <c r="L81" s="214">
        <f t="shared" si="9"/>
        <v>90332.001145999995</v>
      </c>
      <c r="M81" s="214">
        <f>SUM(M82:M90)</f>
        <v>9460.2830059999997</v>
      </c>
      <c r="N81" s="208">
        <f>SUM(N82:N90)</f>
        <v>80871.718139999997</v>
      </c>
      <c r="O81" s="273">
        <f>E81/C81*100</f>
        <v>97.082831549399401</v>
      </c>
      <c r="P81" s="273">
        <f>E81/D81*100</f>
        <v>97.082831549399401</v>
      </c>
      <c r="Q81" s="282"/>
      <c r="R81" s="299">
        <v>6</v>
      </c>
      <c r="S81" s="299">
        <v>10200.666999999999</v>
      </c>
    </row>
    <row r="82" spans="1:20" s="302" customFormat="1" ht="16.5" customHeight="1">
      <c r="A82" s="539" t="s">
        <v>334</v>
      </c>
      <c r="B82" s="212" t="s">
        <v>411</v>
      </c>
      <c r="C82" s="550">
        <v>42142</v>
      </c>
      <c r="D82" s="279">
        <v>0</v>
      </c>
      <c r="E82" s="208">
        <f>+F82+I82+L82</f>
        <v>33027.924440000003</v>
      </c>
      <c r="F82" s="208">
        <f t="shared" ref="F82:F91" si="10">SUM(G82:H82)</f>
        <v>1492.4157520000001</v>
      </c>
      <c r="G82" s="208">
        <v>1492.4157520000001</v>
      </c>
      <c r="H82" s="208"/>
      <c r="I82" s="208">
        <f t="shared" ref="I82:I90" si="11">+J82+K82</f>
        <v>8200.6659309999995</v>
      </c>
      <c r="J82" s="208"/>
      <c r="K82" s="208">
        <v>8200.6659309999995</v>
      </c>
      <c r="L82" s="208">
        <f>SUM(M82:N82)</f>
        <v>23334.842756999999</v>
      </c>
      <c r="M82" s="208">
        <v>7042.1062000000002</v>
      </c>
      <c r="N82" s="208">
        <v>16292.736557</v>
      </c>
      <c r="O82" s="273">
        <f>E82/C82*100</f>
        <v>78.372940154715025</v>
      </c>
      <c r="P82" s="273"/>
      <c r="Q82" s="282" t="e">
        <f>+E82/"#REF!*100"</f>
        <v>#VALUE!</v>
      </c>
      <c r="R82" s="302">
        <v>7</v>
      </c>
      <c r="S82" s="302">
        <v>19743.741000000002</v>
      </c>
      <c r="T82" s="302">
        <v>472.26600000000002</v>
      </c>
    </row>
    <row r="83" spans="1:20" s="299" customFormat="1" ht="16.5" customHeight="1">
      <c r="A83" s="280" t="s">
        <v>336</v>
      </c>
      <c r="B83" s="281" t="s">
        <v>412</v>
      </c>
      <c r="C83" s="551">
        <v>82900</v>
      </c>
      <c r="D83" s="279">
        <v>0</v>
      </c>
      <c r="E83" s="214">
        <f>+F83+I83+L83</f>
        <v>86257.847989000002</v>
      </c>
      <c r="F83" s="208">
        <f t="shared" si="10"/>
        <v>8994.1803</v>
      </c>
      <c r="G83" s="208">
        <v>8994.1803</v>
      </c>
      <c r="H83" s="208"/>
      <c r="I83" s="214">
        <f t="shared" si="11"/>
        <v>10266.5093</v>
      </c>
      <c r="J83" s="214">
        <v>5879.5272999999997</v>
      </c>
      <c r="K83" s="208">
        <v>4386.982</v>
      </c>
      <c r="L83" s="214">
        <f>SUM(M83:N83)</f>
        <v>66997.158389000004</v>
      </c>
      <c r="M83" s="214">
        <v>2418.1768059999999</v>
      </c>
      <c r="N83" s="208">
        <v>64578.981583000001</v>
      </c>
      <c r="O83" s="273">
        <f>E83/C83*100</f>
        <v>104.05048008323281</v>
      </c>
      <c r="P83" s="273"/>
      <c r="Q83" s="282"/>
    </row>
    <row r="84" spans="1:20" s="299" customFormat="1" ht="16.5" customHeight="1">
      <c r="A84" s="280" t="s">
        <v>338</v>
      </c>
      <c r="B84" s="281" t="s">
        <v>413</v>
      </c>
      <c r="C84" s="279">
        <v>0</v>
      </c>
      <c r="D84" s="279">
        <v>0</v>
      </c>
      <c r="E84" s="214">
        <f t="shared" ref="E84:E89" si="12">+F84+I84+L84</f>
        <v>427.75749999999999</v>
      </c>
      <c r="F84" s="208">
        <f t="shared" si="10"/>
        <v>174.37899999999999</v>
      </c>
      <c r="G84" s="208">
        <v>174.37899999999999</v>
      </c>
      <c r="H84" s="208"/>
      <c r="I84" s="214">
        <f t="shared" si="11"/>
        <v>253.3785</v>
      </c>
      <c r="J84" s="214">
        <v>253.3785</v>
      </c>
      <c r="K84" s="208"/>
      <c r="L84" s="214">
        <f t="shared" ref="L84:L89" si="13">SUM(M84:N84)</f>
        <v>0</v>
      </c>
      <c r="M84" s="214"/>
      <c r="N84" s="208"/>
      <c r="O84" s="279">
        <v>0</v>
      </c>
      <c r="P84" s="279">
        <v>0</v>
      </c>
      <c r="Q84" s="282"/>
    </row>
    <row r="85" spans="1:20" s="302" customFormat="1" ht="16.5" customHeight="1">
      <c r="A85" s="539" t="s">
        <v>340</v>
      </c>
      <c r="B85" s="303" t="s">
        <v>414</v>
      </c>
      <c r="C85" s="279">
        <v>0</v>
      </c>
      <c r="D85" s="279">
        <v>0</v>
      </c>
      <c r="E85" s="208">
        <f t="shared" si="12"/>
        <v>43.848316999999994</v>
      </c>
      <c r="F85" s="208">
        <f t="shared" si="10"/>
        <v>43.243316999999998</v>
      </c>
      <c r="G85" s="208">
        <v>43.243316999999998</v>
      </c>
      <c r="H85" s="208"/>
      <c r="I85" s="208">
        <f t="shared" si="11"/>
        <v>0.60499999999999998</v>
      </c>
      <c r="J85" s="208">
        <v>0.60499999999999998</v>
      </c>
      <c r="K85" s="208"/>
      <c r="L85" s="208">
        <f t="shared" si="13"/>
        <v>0</v>
      </c>
      <c r="M85" s="208"/>
      <c r="N85" s="208"/>
      <c r="O85" s="279">
        <v>0</v>
      </c>
      <c r="P85" s="279">
        <v>0</v>
      </c>
      <c r="Q85" s="282"/>
    </row>
    <row r="86" spans="1:20" s="299" customFormat="1" ht="16.5" customHeight="1">
      <c r="A86" s="280" t="s">
        <v>344</v>
      </c>
      <c r="B86" s="304" t="s">
        <v>415</v>
      </c>
      <c r="C86" s="279">
        <v>0</v>
      </c>
      <c r="D86" s="279">
        <v>0</v>
      </c>
      <c r="E86" s="214">
        <f t="shared" si="12"/>
        <v>10.435</v>
      </c>
      <c r="F86" s="208">
        <f t="shared" si="10"/>
        <v>10.435</v>
      </c>
      <c r="G86" s="208">
        <v>10.435</v>
      </c>
      <c r="H86" s="208"/>
      <c r="I86" s="305">
        <f t="shared" si="11"/>
        <v>0</v>
      </c>
      <c r="J86" s="305"/>
      <c r="K86" s="306"/>
      <c r="L86" s="305">
        <f>SUM(M86:N86)</f>
        <v>0</v>
      </c>
      <c r="M86" s="214"/>
      <c r="N86" s="208"/>
      <c r="O86" s="279">
        <v>0</v>
      </c>
      <c r="P86" s="279">
        <v>0</v>
      </c>
      <c r="Q86" s="282"/>
    </row>
    <row r="87" spans="1:20" s="299" customFormat="1" ht="16.5" customHeight="1">
      <c r="A87" s="280" t="s">
        <v>348</v>
      </c>
      <c r="B87" s="304" t="s">
        <v>416</v>
      </c>
      <c r="C87" s="279">
        <v>0</v>
      </c>
      <c r="D87" s="279">
        <v>0</v>
      </c>
      <c r="E87" s="214">
        <f>+F87+I87+L87</f>
        <v>1575.05898</v>
      </c>
      <c r="F87" s="208">
        <f t="shared" si="10"/>
        <v>1575.05898</v>
      </c>
      <c r="G87" s="208">
        <v>1575.05898</v>
      </c>
      <c r="H87" s="208"/>
      <c r="I87" s="305">
        <f t="shared" si="11"/>
        <v>0</v>
      </c>
      <c r="J87" s="305"/>
      <c r="K87" s="306"/>
      <c r="L87" s="305">
        <f t="shared" si="13"/>
        <v>0</v>
      </c>
      <c r="M87" s="214"/>
      <c r="N87" s="208"/>
      <c r="O87" s="279">
        <v>0</v>
      </c>
      <c r="P87" s="279">
        <v>0</v>
      </c>
      <c r="Q87" s="282"/>
    </row>
    <row r="88" spans="1:20" s="299" customFormat="1" ht="16.5" customHeight="1">
      <c r="A88" s="280" t="s">
        <v>350</v>
      </c>
      <c r="B88" s="304" t="s">
        <v>417</v>
      </c>
      <c r="C88" s="279">
        <v>0</v>
      </c>
      <c r="D88" s="279">
        <v>0</v>
      </c>
      <c r="E88" s="214">
        <f t="shared" si="12"/>
        <v>16.635999999999999</v>
      </c>
      <c r="F88" s="208">
        <f t="shared" si="10"/>
        <v>0</v>
      </c>
      <c r="G88" s="208"/>
      <c r="H88" s="208"/>
      <c r="I88" s="214">
        <f t="shared" si="11"/>
        <v>16.635999999999999</v>
      </c>
      <c r="J88" s="214">
        <v>16.635999999999999</v>
      </c>
      <c r="K88" s="208"/>
      <c r="L88" s="305">
        <f t="shared" si="13"/>
        <v>0</v>
      </c>
      <c r="M88" s="214"/>
      <c r="N88" s="208"/>
      <c r="O88" s="279">
        <v>0</v>
      </c>
      <c r="P88" s="279">
        <v>0</v>
      </c>
      <c r="Q88" s="282"/>
    </row>
    <row r="89" spans="1:20" s="299" customFormat="1" ht="16.5" customHeight="1">
      <c r="A89" s="280" t="s">
        <v>352</v>
      </c>
      <c r="B89" s="304" t="s">
        <v>418</v>
      </c>
      <c r="C89" s="279">
        <v>0</v>
      </c>
      <c r="D89" s="279">
        <v>0</v>
      </c>
      <c r="E89" s="214">
        <f t="shared" si="12"/>
        <v>34.805999999999997</v>
      </c>
      <c r="F89" s="208">
        <f t="shared" si="10"/>
        <v>0</v>
      </c>
      <c r="G89" s="208"/>
      <c r="H89" s="208"/>
      <c r="I89" s="214">
        <f t="shared" si="11"/>
        <v>34.805999999999997</v>
      </c>
      <c r="J89" s="214">
        <v>34.805999999999997</v>
      </c>
      <c r="K89" s="208"/>
      <c r="L89" s="305">
        <f t="shared" si="13"/>
        <v>0</v>
      </c>
      <c r="M89" s="214"/>
      <c r="N89" s="208"/>
      <c r="O89" s="279">
        <v>0</v>
      </c>
      <c r="P89" s="279">
        <v>0</v>
      </c>
      <c r="Q89" s="282"/>
    </row>
    <row r="90" spans="1:20" s="302" customFormat="1" ht="16.5" customHeight="1">
      <c r="A90" s="539">
        <v>2</v>
      </c>
      <c r="B90" s="212" t="s">
        <v>419</v>
      </c>
      <c r="C90" s="550">
        <v>507420</v>
      </c>
      <c r="D90" s="552">
        <v>507420</v>
      </c>
      <c r="E90" s="208">
        <f>F90+I90+L90</f>
        <v>723040.85893299989</v>
      </c>
      <c r="F90" s="208">
        <f>SUM(G90:H90)</f>
        <v>723040.85893299989</v>
      </c>
      <c r="G90" s="208">
        <f>+G91</f>
        <v>0</v>
      </c>
      <c r="H90" s="208">
        <f>185340.801093+H91</f>
        <v>723040.85893299989</v>
      </c>
      <c r="I90" s="208">
        <f t="shared" si="11"/>
        <v>0</v>
      </c>
      <c r="J90" s="208"/>
      <c r="K90" s="208"/>
      <c r="L90" s="208">
        <f>+M90+N90</f>
        <v>0</v>
      </c>
      <c r="M90" s="208"/>
      <c r="N90" s="208"/>
      <c r="O90" s="415">
        <v>0</v>
      </c>
      <c r="P90" s="415">
        <v>0</v>
      </c>
      <c r="Q90" s="282" t="e">
        <f>+E90/"#REF!*100"</f>
        <v>#VALUE!</v>
      </c>
      <c r="R90" s="416">
        <f>+H90+F91</f>
        <v>1260740.9167729998</v>
      </c>
    </row>
    <row r="91" spans="1:20" s="116" customFormat="1" ht="15" customHeight="1">
      <c r="A91" s="212"/>
      <c r="B91" s="417" t="s">
        <v>653</v>
      </c>
      <c r="C91" s="418"/>
      <c r="D91" s="419"/>
      <c r="E91" s="286">
        <f>+F91</f>
        <v>537700.05783999991</v>
      </c>
      <c r="F91" s="286">
        <f t="shared" si="10"/>
        <v>537700.05783999991</v>
      </c>
      <c r="G91" s="286"/>
      <c r="H91" s="286">
        <f>24307.095858+143489.177159+3023.028+366880.756823</f>
        <v>537700.05783999991</v>
      </c>
      <c r="I91" s="286"/>
      <c r="J91" s="286"/>
      <c r="K91" s="286"/>
      <c r="L91" s="286"/>
      <c r="M91" s="286"/>
      <c r="N91" s="286"/>
      <c r="O91" s="415">
        <v>0</v>
      </c>
      <c r="P91" s="415">
        <v>0</v>
      </c>
      <c r="Q91" s="357"/>
    </row>
    <row r="92" spans="1:20" ht="15" customHeight="1">
      <c r="A92" s="269" t="s">
        <v>77</v>
      </c>
      <c r="B92" s="270" t="s">
        <v>420</v>
      </c>
      <c r="C92" s="309">
        <f>+C93+C94</f>
        <v>0</v>
      </c>
      <c r="D92" s="309">
        <f>+D93+D94</f>
        <v>0</v>
      </c>
      <c r="E92" s="273">
        <f>F92+I92+L92</f>
        <v>4401708.8094819998</v>
      </c>
      <c r="F92" s="200">
        <f>+F93+F94</f>
        <v>3529828.5199640002</v>
      </c>
      <c r="G92" s="200">
        <f t="shared" ref="G92:M92" si="14">+G93+G94</f>
        <v>0</v>
      </c>
      <c r="H92" s="200">
        <f t="shared" si="14"/>
        <v>0</v>
      </c>
      <c r="I92" s="273">
        <f>+I93+I94</f>
        <v>871880.28951799998</v>
      </c>
      <c r="J92" s="273">
        <f t="shared" si="14"/>
        <v>0</v>
      </c>
      <c r="K92" s="200">
        <f t="shared" si="14"/>
        <v>0</v>
      </c>
      <c r="L92" s="273">
        <f t="shared" si="14"/>
        <v>0</v>
      </c>
      <c r="M92" s="273">
        <f t="shared" si="14"/>
        <v>0</v>
      </c>
      <c r="N92" s="200"/>
      <c r="O92" s="279">
        <v>0</v>
      </c>
      <c r="P92" s="279">
        <v>0</v>
      </c>
      <c r="Q92" s="307" t="e">
        <f>+E92/"#REF!*100"</f>
        <v>#VALUE!</v>
      </c>
    </row>
    <row r="93" spans="1:20" ht="15" customHeight="1">
      <c r="A93" s="308">
        <v>1</v>
      </c>
      <c r="B93" s="281" t="s">
        <v>421</v>
      </c>
      <c r="C93" s="309">
        <v>0</v>
      </c>
      <c r="D93" s="309">
        <v>0</v>
      </c>
      <c r="E93" s="214">
        <f>F93+I93+L93</f>
        <v>3021358.5112660001</v>
      </c>
      <c r="F93" s="208">
        <f>2491115.468835-27908.468835</f>
        <v>2463207</v>
      </c>
      <c r="G93" s="208"/>
      <c r="H93" s="208"/>
      <c r="I93" s="213">
        <v>558151.51126599999</v>
      </c>
      <c r="J93" s="214"/>
      <c r="K93" s="208"/>
      <c r="L93" s="214"/>
      <c r="M93" s="214"/>
      <c r="N93" s="208"/>
      <c r="O93" s="279">
        <v>0</v>
      </c>
      <c r="P93" s="279">
        <v>0</v>
      </c>
      <c r="Q93" s="307" t="e">
        <f>+E93/"#REF!*100"</f>
        <v>#VALUE!</v>
      </c>
      <c r="R93" s="105">
        <v>59416</v>
      </c>
    </row>
    <row r="94" spans="1:20" ht="15.75" customHeight="1">
      <c r="A94" s="308">
        <v>2</v>
      </c>
      <c r="B94" s="281" t="s">
        <v>422</v>
      </c>
      <c r="C94" s="309">
        <f>+C95+C96</f>
        <v>0</v>
      </c>
      <c r="D94" s="309">
        <f>+D95+D96</f>
        <v>0</v>
      </c>
      <c r="E94" s="214">
        <f>F94+I94+L94</f>
        <v>1380350.298216</v>
      </c>
      <c r="F94" s="208">
        <f>+F95+F96</f>
        <v>1066621.519964</v>
      </c>
      <c r="G94" s="208"/>
      <c r="H94" s="208"/>
      <c r="I94" s="208">
        <f>+I95+I96</f>
        <v>313728.77825199999</v>
      </c>
      <c r="J94" s="214"/>
      <c r="K94" s="208"/>
      <c r="L94" s="208">
        <f>+L95+L96</f>
        <v>0</v>
      </c>
      <c r="M94" s="214"/>
      <c r="N94" s="208"/>
      <c r="O94" s="279">
        <v>0</v>
      </c>
      <c r="P94" s="279">
        <v>0</v>
      </c>
      <c r="Q94" s="307"/>
      <c r="R94" s="105">
        <v>305464</v>
      </c>
    </row>
    <row r="95" spans="1:20" ht="15.75" customHeight="1">
      <c r="A95" s="308" t="s">
        <v>372</v>
      </c>
      <c r="B95" s="281" t="s">
        <v>423</v>
      </c>
      <c r="C95" s="309">
        <v>0</v>
      </c>
      <c r="D95" s="309">
        <v>0</v>
      </c>
      <c r="E95" s="214">
        <f>F95+I95+L95</f>
        <v>1380350.298216</v>
      </c>
      <c r="F95" s="208">
        <f>1038713.051129+27908.468835</f>
        <v>1066621.519964</v>
      </c>
      <c r="G95" s="208"/>
      <c r="H95" s="208"/>
      <c r="I95" s="213">
        <v>313728.77825199999</v>
      </c>
      <c r="J95" s="214"/>
      <c r="K95" s="208"/>
      <c r="L95" s="214"/>
      <c r="M95" s="214"/>
      <c r="N95" s="208"/>
      <c r="O95" s="279">
        <v>0</v>
      </c>
      <c r="P95" s="279">
        <v>0</v>
      </c>
      <c r="Q95" s="310"/>
      <c r="R95" s="105">
        <v>329401</v>
      </c>
    </row>
    <row r="96" spans="1:20" ht="14.25" customHeight="1">
      <c r="A96" s="308" t="s">
        <v>374</v>
      </c>
      <c r="B96" s="281" t="s">
        <v>424</v>
      </c>
      <c r="C96" s="309">
        <v>0</v>
      </c>
      <c r="D96" s="309">
        <v>0</v>
      </c>
      <c r="E96" s="214"/>
      <c r="F96" s="208"/>
      <c r="G96" s="208"/>
      <c r="H96" s="208"/>
      <c r="I96" s="214"/>
      <c r="J96" s="214"/>
      <c r="K96" s="208"/>
      <c r="L96" s="214"/>
      <c r="M96" s="214"/>
      <c r="N96" s="208"/>
      <c r="O96" s="279">
        <v>0</v>
      </c>
      <c r="P96" s="279">
        <v>0</v>
      </c>
      <c r="Q96" s="311"/>
      <c r="R96" s="105">
        <v>1066621.519964</v>
      </c>
      <c r="S96" s="106">
        <f>+F95-R96</f>
        <v>0</v>
      </c>
      <c r="T96" s="105">
        <f>+R95+R94</f>
        <v>634865</v>
      </c>
    </row>
    <row r="97" spans="1:19" s="118" customFormat="1" ht="14.25" customHeight="1">
      <c r="A97" s="269" t="s">
        <v>141</v>
      </c>
      <c r="B97" s="275" t="s">
        <v>425</v>
      </c>
      <c r="C97" s="309">
        <v>0</v>
      </c>
      <c r="D97" s="309">
        <v>0</v>
      </c>
      <c r="E97" s="273">
        <f>F97+I97+L97</f>
        <v>3170.4630000000002</v>
      </c>
      <c r="F97" s="200">
        <v>2655</v>
      </c>
      <c r="G97" s="200"/>
      <c r="H97" s="200"/>
      <c r="I97" s="273">
        <v>217.46299999999999</v>
      </c>
      <c r="J97" s="273"/>
      <c r="K97" s="200"/>
      <c r="L97" s="273">
        <v>298</v>
      </c>
      <c r="M97" s="273"/>
      <c r="N97" s="200"/>
      <c r="O97" s="279">
        <v>0</v>
      </c>
      <c r="P97" s="279">
        <v>0</v>
      </c>
      <c r="Q97" s="312"/>
    </row>
    <row r="98" spans="1:19" s="120" customFormat="1" ht="17.25" customHeight="1">
      <c r="A98" s="281"/>
      <c r="B98" s="269" t="s">
        <v>426</v>
      </c>
      <c r="C98" s="541">
        <f>+C8+C95</f>
        <v>7490070</v>
      </c>
      <c r="D98" s="276">
        <f>+D8+D92</f>
        <v>7966290</v>
      </c>
      <c r="E98" s="273">
        <f>+F98+I98+L98</f>
        <v>14015134.315655999</v>
      </c>
      <c r="F98" s="200">
        <f>F8+F92+F97</f>
        <v>8732801.7065699995</v>
      </c>
      <c r="G98" s="200">
        <f>+G92+G8</f>
        <v>0</v>
      </c>
      <c r="H98" s="200">
        <f>+H92+H8</f>
        <v>0</v>
      </c>
      <c r="I98" s="200">
        <f>I8+I92+I97</f>
        <v>4308035.3378630001</v>
      </c>
      <c r="J98" s="200">
        <f>+J92+J8</f>
        <v>0</v>
      </c>
      <c r="K98" s="200">
        <f>+K92+K8</f>
        <v>0</v>
      </c>
      <c r="L98" s="200">
        <f>L8+L92+L97</f>
        <v>974297.2712229999</v>
      </c>
      <c r="M98" s="273"/>
      <c r="N98" s="200"/>
      <c r="O98" s="273">
        <f>E98/C98*100</f>
        <v>187.11619939007244</v>
      </c>
      <c r="P98" s="273">
        <f>E98/D98*100</f>
        <v>175.93050611584562</v>
      </c>
      <c r="Q98" s="121"/>
      <c r="R98" s="120">
        <v>976937</v>
      </c>
      <c r="S98" s="313">
        <f>+L98-R98</f>
        <v>-2639.7287770000985</v>
      </c>
    </row>
    <row r="99" spans="1:19" s="120" customFormat="1" ht="16.5" customHeight="1">
      <c r="A99" s="314"/>
      <c r="B99" s="315"/>
      <c r="C99" s="316"/>
      <c r="D99" s="317"/>
      <c r="E99" s="316"/>
      <c r="F99" s="318"/>
      <c r="G99" s="318"/>
      <c r="H99" s="318"/>
      <c r="I99" s="318"/>
      <c r="J99" s="318"/>
      <c r="K99" s="318"/>
      <c r="L99" s="318"/>
      <c r="M99" s="318"/>
      <c r="N99" s="318"/>
      <c r="O99" s="316"/>
      <c r="P99" s="316"/>
      <c r="Q99" s="121"/>
    </row>
    <row r="100" spans="1:19" s="120" customFormat="1" ht="16.5">
      <c r="A100" s="319"/>
      <c r="B100" s="320" t="s">
        <v>662</v>
      </c>
      <c r="C100" s="1002" t="s">
        <v>663</v>
      </c>
      <c r="D100" s="1002"/>
      <c r="E100" s="1002"/>
      <c r="F100" s="1002"/>
      <c r="G100" s="321"/>
      <c r="H100" s="410"/>
      <c r="I100" s="1003" t="s">
        <v>664</v>
      </c>
      <c r="J100" s="1003"/>
      <c r="K100" s="1003"/>
      <c r="L100" s="1003"/>
      <c r="M100" s="1003"/>
      <c r="N100" s="1003"/>
      <c r="O100" s="1003"/>
      <c r="P100" s="1003"/>
      <c r="Q100" s="121"/>
      <c r="R100" s="120">
        <v>27908468835</v>
      </c>
    </row>
    <row r="101" spans="1:19" s="120" customFormat="1" ht="16.5">
      <c r="A101" s="319"/>
      <c r="B101" s="322" t="s">
        <v>427</v>
      </c>
      <c r="C101" s="1008" t="s">
        <v>312</v>
      </c>
      <c r="D101" s="1008"/>
      <c r="E101" s="1008"/>
      <c r="F101" s="1008"/>
      <c r="G101" s="321"/>
      <c r="H101" s="321"/>
      <c r="I101" s="1000" t="s">
        <v>82</v>
      </c>
      <c r="J101" s="1000"/>
      <c r="K101" s="1000"/>
      <c r="L101" s="1000"/>
      <c r="M101" s="1000"/>
      <c r="N101" s="1000"/>
      <c r="O101" s="1000"/>
      <c r="P101" s="1000"/>
      <c r="Q101" s="121"/>
    </row>
    <row r="102" spans="1:19" s="120" customFormat="1" ht="16.5">
      <c r="A102" s="319"/>
      <c r="B102" s="322"/>
      <c r="C102" s="323"/>
      <c r="D102" s="324"/>
      <c r="E102" s="323"/>
      <c r="F102" s="553"/>
      <c r="G102" s="410"/>
      <c r="H102" s="410">
        <f>H10-H80</f>
        <v>0</v>
      </c>
      <c r="I102" s="1000" t="s">
        <v>83</v>
      </c>
      <c r="J102" s="1000"/>
      <c r="K102" s="1000"/>
      <c r="L102" s="1000"/>
      <c r="M102" s="1000"/>
      <c r="N102" s="1000"/>
      <c r="O102" s="1000"/>
      <c r="P102" s="1000"/>
      <c r="Q102" s="121"/>
    </row>
    <row r="103" spans="1:19" s="120" customFormat="1" ht="22.5" customHeight="1">
      <c r="A103" s="314"/>
      <c r="B103" s="315"/>
      <c r="C103" s="316"/>
      <c r="D103" s="317"/>
      <c r="E103" s="553">
        <f>F98-F103</f>
        <v>868431.32582499925</v>
      </c>
      <c r="F103" s="553">
        <v>7864370.3807450002</v>
      </c>
      <c r="G103" s="318"/>
      <c r="H103" s="410">
        <v>185340801093</v>
      </c>
      <c r="I103" s="318">
        <v>4308035.3378630001</v>
      </c>
      <c r="J103" s="318"/>
      <c r="K103" s="318"/>
      <c r="L103" s="318">
        <v>974297.27122300002</v>
      </c>
      <c r="M103" s="318"/>
      <c r="N103" s="318"/>
      <c r="O103" s="316"/>
      <c r="P103" s="316"/>
      <c r="Q103" s="121"/>
    </row>
    <row r="104" spans="1:19" ht="16.5">
      <c r="B104" s="121"/>
      <c r="C104" s="128"/>
      <c r="D104" s="325">
        <v>50000</v>
      </c>
      <c r="E104" s="489">
        <f>F103+I103+L103</f>
        <v>13146702.989830999</v>
      </c>
      <c r="F104" s="326">
        <v>7864370.3807450002</v>
      </c>
      <c r="G104" s="327"/>
      <c r="H104" s="328"/>
      <c r="I104" s="488">
        <f>I98-I103</f>
        <v>0</v>
      </c>
      <c r="J104" s="121"/>
      <c r="K104" s="329"/>
      <c r="L104" s="488">
        <f>L98-L103</f>
        <v>0</v>
      </c>
      <c r="M104" s="121"/>
      <c r="N104" s="329"/>
      <c r="O104" s="121"/>
      <c r="P104" s="121"/>
      <c r="Q104" s="126"/>
      <c r="R104" s="106">
        <f>+I98-4082433</f>
        <v>225602.33786300011</v>
      </c>
    </row>
    <row r="105" spans="1:19">
      <c r="B105" s="125"/>
      <c r="C105" s="121"/>
      <c r="D105" s="126"/>
      <c r="E105" s="106">
        <f>E98-E104</f>
        <v>868431.32582500018</v>
      </c>
      <c r="F105" s="330">
        <f>+F103-F104</f>
        <v>0</v>
      </c>
      <c r="G105" s="331"/>
      <c r="H105" s="331"/>
      <c r="I105" s="127"/>
      <c r="J105" s="125"/>
      <c r="K105" s="332"/>
      <c r="L105" s="126"/>
      <c r="M105" s="125"/>
      <c r="N105" s="332"/>
      <c r="O105" s="125"/>
      <c r="P105" s="125"/>
    </row>
    <row r="106" spans="1:19" ht="15" customHeight="1">
      <c r="E106" s="119"/>
      <c r="F106" s="333">
        <f>+F98-F103</f>
        <v>868431.32582499925</v>
      </c>
      <c r="G106" s="333"/>
      <c r="H106" s="333"/>
      <c r="I106" s="126"/>
      <c r="J106" s="126"/>
      <c r="K106" s="334"/>
      <c r="L106" s="126"/>
      <c r="M106" s="126"/>
      <c r="N106" s="334"/>
      <c r="O106" s="126"/>
      <c r="P106" s="126"/>
    </row>
    <row r="107" spans="1:19">
      <c r="B107" s="105">
        <v>24410802252</v>
      </c>
      <c r="E107" s="335">
        <f>E105-F77</f>
        <v>0</v>
      </c>
      <c r="F107" s="333"/>
      <c r="R107" s="105">
        <v>12779306.801867999</v>
      </c>
    </row>
    <row r="108" spans="1:19">
      <c r="D108" s="129">
        <f>+D98+50000</f>
        <v>8016290</v>
      </c>
      <c r="E108" s="119">
        <f>'TH THU_61_342_50_31'!D8-F108</f>
        <v>14258679.493396001</v>
      </c>
      <c r="F108" s="336">
        <f>+'TH THU_61_342_50_31'!E8</f>
        <v>323276.280585</v>
      </c>
      <c r="L108" s="106"/>
      <c r="R108" s="106">
        <f>+E98-R107</f>
        <v>1235827.5137879997</v>
      </c>
    </row>
    <row r="109" spans="1:19">
      <c r="E109" s="106">
        <f>E108-E98</f>
        <v>243545.17774000205</v>
      </c>
      <c r="K109" s="336"/>
      <c r="L109" s="106"/>
    </row>
    <row r="110" spans="1:19">
      <c r="F110" s="336"/>
      <c r="I110" s="106"/>
    </row>
    <row r="111" spans="1:19">
      <c r="F111" s="336"/>
    </row>
    <row r="112" spans="1:19">
      <c r="F112" s="336"/>
      <c r="I112" s="106"/>
    </row>
    <row r="113" spans="2:6">
      <c r="F113" s="336"/>
    </row>
    <row r="117" spans="2:6">
      <c r="B117" s="106">
        <v>123456789</v>
      </c>
    </row>
  </sheetData>
  <sheetProtection selectLockedCells="1" selectUnlockedCells="1"/>
  <mergeCells count="10">
    <mergeCell ref="B2:P2"/>
    <mergeCell ref="C4:D4"/>
    <mergeCell ref="E4:L4"/>
    <mergeCell ref="O4:P4"/>
    <mergeCell ref="I102:P102"/>
    <mergeCell ref="F5:L5"/>
    <mergeCell ref="C100:F100"/>
    <mergeCell ref="I100:P100"/>
    <mergeCell ref="C101:F101"/>
    <mergeCell ref="I101:P101"/>
  </mergeCells>
  <phoneticPr fontId="160" type="noConversion"/>
  <pageMargins left="0.5" right="0" top="0.25" bottom="0.25" header="0.51180555555555551" footer="0.51180555555555551"/>
  <pageSetup paperSize="9" firstPageNumber="0" orientation="landscape"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D4D6AF-1CB4-4569-A06D-3194D8B9E203}"/>
</file>

<file path=customXml/itemProps2.xml><?xml version="1.0" encoding="utf-8"?>
<ds:datastoreItem xmlns:ds="http://schemas.openxmlformats.org/officeDocument/2006/customXml" ds:itemID="{7246415F-FC4F-40F1-989E-7479FE3C2301}"/>
</file>

<file path=customXml/itemProps3.xml><?xml version="1.0" encoding="utf-8"?>
<ds:datastoreItem xmlns:ds="http://schemas.openxmlformats.org/officeDocument/2006/customXml" ds:itemID="{8FBE9B36-5DE8-4909-8EAA-7E32F31E49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37</vt:i4>
      </vt:variant>
    </vt:vector>
  </HeadingPairs>
  <TitlesOfParts>
    <vt:vector size="55" baseType="lpstr">
      <vt:lpstr>CAN DOI_60_342</vt:lpstr>
      <vt:lpstr>BIEU 63_CK</vt:lpstr>
      <vt:lpstr>BIEU _CK</vt:lpstr>
      <vt:lpstr>CAN DOI 48_ND31 - BCUB</vt:lpstr>
      <vt:lpstr>CAN DOI 49_ND31</vt:lpstr>
      <vt:lpstr>TH THU 50_ND31</vt:lpstr>
      <vt:lpstr>TH CHI_53 ND31</vt:lpstr>
      <vt:lpstr>TH THU_61_342_50_31</vt:lpstr>
      <vt:lpstr>TH CHI_62_342_51_52_53_31</vt:lpstr>
      <vt:lpstr>CHI HUYEN 58_31</vt:lpstr>
      <vt:lpstr>TM DP, TT 68_342</vt:lpstr>
      <vt:lpstr>TM THIEN TAI 67_342</vt:lpstr>
      <vt:lpstr>TM QLHC 66_342</vt:lpstr>
      <vt:lpstr>BC KT TTRA_69_342</vt:lpstr>
      <vt:lpstr>CHUYEN NGUON_70_342</vt:lpstr>
      <vt:lpstr>MAU 59_342</vt:lpstr>
      <vt:lpstr>MAU 58_342</vt:lpstr>
      <vt:lpstr>DAU TU_HD</vt:lpstr>
      <vt:lpstr>'BIEU _CK'!__xlnm.Print_Area</vt:lpstr>
      <vt:lpstr>'BIEU 63_CK'!__xlnm.Print_Area</vt:lpstr>
      <vt:lpstr>'CAN DOI 48_ND31 - BCUB'!__xlnm.Print_Area</vt:lpstr>
      <vt:lpstr>'CAN DOI 49_ND31'!__xlnm.Print_Area</vt:lpstr>
      <vt:lpstr>'CAN DOI_60_342'!__xlnm.Print_Area</vt:lpstr>
      <vt:lpstr>'CHI HUYEN 58_31'!__xlnm.Print_Area</vt:lpstr>
      <vt:lpstr>'TM DP, TT 68_342'!__xlnm.Print_Area</vt:lpstr>
      <vt:lpstr>'TM QLHC 66_342'!__xlnm.Print_Area</vt:lpstr>
      <vt:lpstr>'TM THIEN TAI 67_342'!__xlnm.Print_Area</vt:lpstr>
      <vt:lpstr>'TH CHI_53 ND31'!__xlnm.Print_Area</vt:lpstr>
      <vt:lpstr>'TH CHI_62_342_51_52_53_31'!__xlnm.Print_Area</vt:lpstr>
      <vt:lpstr>'TH THU 50_ND31'!__xlnm.Print_Area</vt:lpstr>
      <vt:lpstr>'TH THU_61_342_50_31'!__xlnm.Print_Area</vt:lpstr>
      <vt:lpstr>'BIEU _CK'!__xlnm.Print_Titles</vt:lpstr>
      <vt:lpstr>'BIEU 63_CK'!__xlnm.Print_Titles</vt:lpstr>
      <vt:lpstr>'CAN DOI 48_ND31 - BCUB'!__xlnm.Print_Titles</vt:lpstr>
      <vt:lpstr>'CAN DOI 49_ND31'!__xlnm.Print_Titles</vt:lpstr>
      <vt:lpstr>'TH CHI_53 ND31'!__xlnm.Print_Titles</vt:lpstr>
      <vt:lpstr>'TH CHI_62_342_51_52_53_31'!__xlnm.Print_Titles</vt:lpstr>
      <vt:lpstr>'TH THU 50_ND31'!__xlnm.Print_Titles</vt:lpstr>
      <vt:lpstr>'TH THU_61_342_50_31'!__xlnm.Print_Titles</vt:lpstr>
      <vt:lpstr>'BC KT TTRA_69_342'!Print_Area</vt:lpstr>
      <vt:lpstr>'CAN DOI_60_342'!Print_Area</vt:lpstr>
      <vt:lpstr>'TM DP, TT 68_342'!Print_Area</vt:lpstr>
      <vt:lpstr>'TM QLHC 66_342'!Print_Area</vt:lpstr>
      <vt:lpstr>'TM THIEN TAI 67_342'!Print_Area</vt:lpstr>
      <vt:lpstr>'TH CHI_62_342_51_52_53_31'!Print_Area</vt:lpstr>
      <vt:lpstr>'TH THU_61_342_50_31'!Print_Area</vt:lpstr>
      <vt:lpstr>'BC KT TTRA_69_342'!Print_Titles</vt:lpstr>
      <vt:lpstr>'BIEU _CK'!Print_Titles</vt:lpstr>
      <vt:lpstr>'BIEU 63_CK'!Print_Titles</vt:lpstr>
      <vt:lpstr>'CAN DOI 49_ND31'!Print_Titles</vt:lpstr>
      <vt:lpstr>'DAU TU_HD'!Print_Titles</vt:lpstr>
      <vt:lpstr>'TH CHI_53 ND31'!Print_Titles</vt:lpstr>
      <vt:lpstr>'TH CHI_62_342_51_52_53_31'!Print_Titles</vt:lpstr>
      <vt:lpstr>'TH THU 50_ND31'!Print_Titles</vt:lpstr>
      <vt:lpstr>'TH THU_61_342_50_31'!Print_Titles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CHONG</dc:creator>
  <cp:lastModifiedBy>Administrator</cp:lastModifiedBy>
  <cp:lastPrinted>2019-08-12T02:36:10Z</cp:lastPrinted>
  <dcterms:created xsi:type="dcterms:W3CDTF">2018-08-27T07:51:31Z</dcterms:created>
  <dcterms:modified xsi:type="dcterms:W3CDTF">2019-12-26T03:17:19Z</dcterms:modified>
</cp:coreProperties>
</file>