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92" yWindow="120" windowWidth="18888" windowHeight="6624"/>
  </bookViews>
  <sheets>
    <sheet name="Sheet1" sheetId="1" r:id="rId1"/>
    <sheet name="Sheet2" sheetId="2" r:id="rId2"/>
    <sheet name="Sheet3" sheetId="3" r:id="rId3"/>
  </sheets>
  <externalReferences>
    <externalReference r:id="rId4"/>
    <externalReference r:id="rId5"/>
    <externalReference r:id="rId6"/>
    <externalReference r:id="rId7"/>
  </externalReferences>
  <definedNames>
    <definedName name="_xlnm.Print_Titles" localSheetId="0">Sheet1!$9:$11</definedName>
  </definedNames>
  <calcPr calcId="144525"/>
</workbook>
</file>

<file path=xl/calcChain.xml><?xml version="1.0" encoding="utf-8"?>
<calcChain xmlns="http://schemas.openxmlformats.org/spreadsheetml/2006/main">
  <c r="F101" i="1" l="1"/>
  <c r="F100" i="1"/>
  <c r="F98" i="1"/>
  <c r="C97" i="1"/>
  <c r="K96" i="1"/>
  <c r="J96" i="1"/>
  <c r="F96" i="1"/>
  <c r="C96" i="1"/>
  <c r="I96" i="1" s="1"/>
  <c r="F95" i="1"/>
  <c r="K94" i="1"/>
  <c r="I94" i="1"/>
  <c r="F94" i="1"/>
  <c r="C94" i="1"/>
  <c r="K93" i="1"/>
  <c r="F93" i="1"/>
  <c r="I93" i="1" s="1"/>
  <c r="C93" i="1"/>
  <c r="J92" i="1"/>
  <c r="I92" i="1"/>
  <c r="F92" i="1"/>
  <c r="C92" i="1"/>
  <c r="J91" i="1"/>
  <c r="F91" i="1"/>
  <c r="I91" i="1" s="1"/>
  <c r="C91" i="1"/>
  <c r="F90" i="1"/>
  <c r="J89" i="1"/>
  <c r="F89" i="1"/>
  <c r="I89" i="1" s="1"/>
  <c r="C89" i="1"/>
  <c r="J88" i="1"/>
  <c r="F88" i="1"/>
  <c r="I88" i="1" s="1"/>
  <c r="C88" i="1"/>
  <c r="J87" i="1"/>
  <c r="F87" i="1"/>
  <c r="C87" i="1"/>
  <c r="I87" i="1" s="1"/>
  <c r="J86" i="1"/>
  <c r="F86" i="1"/>
  <c r="I86" i="1" s="1"/>
  <c r="C86" i="1"/>
  <c r="J85" i="1"/>
  <c r="F85" i="1"/>
  <c r="C85" i="1"/>
  <c r="I85" i="1" s="1"/>
  <c r="J84" i="1"/>
  <c r="F84" i="1"/>
  <c r="I84" i="1" s="1"/>
  <c r="C84" i="1"/>
  <c r="K83" i="1"/>
  <c r="J83" i="1"/>
  <c r="F83" i="1"/>
  <c r="I83" i="1" s="1"/>
  <c r="C83" i="1"/>
  <c r="F82" i="1"/>
  <c r="F81" i="1"/>
  <c r="J80" i="1"/>
  <c r="I80" i="1"/>
  <c r="F80" i="1"/>
  <c r="C80" i="1"/>
  <c r="J79" i="1"/>
  <c r="F79" i="1"/>
  <c r="I79" i="1" s="1"/>
  <c r="C79" i="1"/>
  <c r="C78" i="1"/>
  <c r="J77" i="1"/>
  <c r="F77" i="1"/>
  <c r="C77" i="1"/>
  <c r="I77" i="1" s="1"/>
  <c r="J76" i="1"/>
  <c r="F76" i="1"/>
  <c r="I76" i="1" s="1"/>
  <c r="C76" i="1"/>
  <c r="K75" i="1"/>
  <c r="J75" i="1"/>
  <c r="F75" i="1"/>
  <c r="I75" i="1" s="1"/>
  <c r="C75" i="1"/>
  <c r="K74" i="1"/>
  <c r="J74" i="1"/>
  <c r="F74" i="1"/>
  <c r="F73" i="1" s="1"/>
  <c r="C74" i="1"/>
  <c r="C73" i="1" s="1"/>
  <c r="H73" i="1"/>
  <c r="K73" i="1" s="1"/>
  <c r="G73" i="1"/>
  <c r="J73" i="1" s="1"/>
  <c r="E73" i="1"/>
  <c r="D73" i="1"/>
  <c r="F72" i="1"/>
  <c r="C72" i="1"/>
  <c r="C70" i="1" s="1"/>
  <c r="H70" i="1"/>
  <c r="E70" i="1"/>
  <c r="D70" i="1"/>
  <c r="I69" i="1"/>
  <c r="G69" i="1"/>
  <c r="F69" i="1"/>
  <c r="C69" i="1"/>
  <c r="D69" i="1" s="1"/>
  <c r="D67" i="1" s="1"/>
  <c r="F68" i="1"/>
  <c r="I68" i="1" s="1"/>
  <c r="C68" i="1"/>
  <c r="C67" i="1" s="1"/>
  <c r="H67" i="1"/>
  <c r="E67" i="1"/>
  <c r="H66" i="1"/>
  <c r="K66" i="1" s="1"/>
  <c r="F66" i="1"/>
  <c r="I66" i="1" s="1"/>
  <c r="C66" i="1"/>
  <c r="G65" i="1"/>
  <c r="J65" i="1" s="1"/>
  <c r="F65" i="1"/>
  <c r="C65" i="1"/>
  <c r="H64" i="1"/>
  <c r="K64" i="1" s="1"/>
  <c r="G64" i="1"/>
  <c r="J64" i="1" s="1"/>
  <c r="F64" i="1"/>
  <c r="F63" i="1" s="1"/>
  <c r="E64" i="1"/>
  <c r="C64" i="1"/>
  <c r="C63" i="1" s="1"/>
  <c r="E63" i="1"/>
  <c r="E62" i="1" s="1"/>
  <c r="D63" i="1"/>
  <c r="D62" i="1" s="1"/>
  <c r="G61" i="1"/>
  <c r="J61" i="1" s="1"/>
  <c r="F61" i="1"/>
  <c r="I61" i="1" s="1"/>
  <c r="D61" i="1"/>
  <c r="C61" i="1"/>
  <c r="G60" i="1"/>
  <c r="F60" i="1"/>
  <c r="G59" i="1"/>
  <c r="J59" i="1" s="1"/>
  <c r="F59" i="1"/>
  <c r="I59" i="1" s="1"/>
  <c r="D59" i="1"/>
  <c r="C59" i="1"/>
  <c r="H58" i="1"/>
  <c r="K58" i="1" s="1"/>
  <c r="G58" i="1"/>
  <c r="J58" i="1" s="1"/>
  <c r="F58" i="1"/>
  <c r="I58" i="1" s="1"/>
  <c r="E58" i="1"/>
  <c r="D58" i="1"/>
  <c r="C58" i="1"/>
  <c r="G57" i="1"/>
  <c r="J57" i="1" s="1"/>
  <c r="F57" i="1"/>
  <c r="I57" i="1" s="1"/>
  <c r="D57" i="1"/>
  <c r="C57" i="1"/>
  <c r="G56" i="1"/>
  <c r="J56" i="1" s="1"/>
  <c r="F56" i="1"/>
  <c r="D56" i="1"/>
  <c r="C56" i="1"/>
  <c r="I56" i="1" s="1"/>
  <c r="K55" i="1"/>
  <c r="J55" i="1"/>
  <c r="H55" i="1"/>
  <c r="G55" i="1"/>
  <c r="F55" i="1"/>
  <c r="E55" i="1"/>
  <c r="D55" i="1"/>
  <c r="C55" i="1"/>
  <c r="I55" i="1" s="1"/>
  <c r="K54" i="1"/>
  <c r="H54" i="1"/>
  <c r="G54" i="1"/>
  <c r="F54" i="1"/>
  <c r="I54" i="1" s="1"/>
  <c r="E54" i="1"/>
  <c r="E49" i="1" s="1"/>
  <c r="E48" i="1" s="1"/>
  <c r="E47" i="1" s="1"/>
  <c r="E46" i="1" s="1"/>
  <c r="E36" i="1" s="1"/>
  <c r="D54" i="1"/>
  <c r="J54" i="1" s="1"/>
  <c r="C54" i="1"/>
  <c r="G53" i="1"/>
  <c r="J53" i="1" s="1"/>
  <c r="F53" i="1"/>
  <c r="D53" i="1"/>
  <c r="C53" i="1"/>
  <c r="C49" i="1" s="1"/>
  <c r="C48" i="1" s="1"/>
  <c r="C47" i="1" s="1"/>
  <c r="J52" i="1"/>
  <c r="I52" i="1"/>
  <c r="H52" i="1"/>
  <c r="G52" i="1"/>
  <c r="F52" i="1"/>
  <c r="D52" i="1"/>
  <c r="C52" i="1"/>
  <c r="I51" i="1"/>
  <c r="G51" i="1"/>
  <c r="J51" i="1" s="1"/>
  <c r="F51" i="1"/>
  <c r="D51" i="1"/>
  <c r="C51" i="1"/>
  <c r="I50" i="1"/>
  <c r="H50" i="1"/>
  <c r="K50" i="1" s="1"/>
  <c r="G50" i="1"/>
  <c r="G49" i="1" s="1"/>
  <c r="F50" i="1"/>
  <c r="F49" i="1" s="1"/>
  <c r="E50" i="1"/>
  <c r="D50" i="1"/>
  <c r="D49" i="1" s="1"/>
  <c r="D48" i="1" s="1"/>
  <c r="D47" i="1" s="1"/>
  <c r="D46" i="1" s="1"/>
  <c r="C50" i="1"/>
  <c r="H49" i="1"/>
  <c r="H48" i="1" s="1"/>
  <c r="F44" i="1"/>
  <c r="K43" i="1"/>
  <c r="J43" i="1"/>
  <c r="I43" i="1"/>
  <c r="K42" i="1"/>
  <c r="I42" i="1"/>
  <c r="K41" i="1"/>
  <c r="J41" i="1"/>
  <c r="F41" i="1"/>
  <c r="I41" i="1" s="1"/>
  <c r="E41" i="1"/>
  <c r="D41" i="1"/>
  <c r="K40" i="1"/>
  <c r="J40" i="1"/>
  <c r="I40" i="1"/>
  <c r="K39" i="1"/>
  <c r="I39" i="1"/>
  <c r="F38" i="1"/>
  <c r="I38" i="1" s="1"/>
  <c r="E38" i="1"/>
  <c r="K38" i="1" s="1"/>
  <c r="D38" i="1"/>
  <c r="J38" i="1" s="1"/>
  <c r="C38" i="1"/>
  <c r="H37" i="1"/>
  <c r="K37" i="1" s="1"/>
  <c r="G37" i="1"/>
  <c r="J37" i="1" s="1"/>
  <c r="F37" i="1"/>
  <c r="I37" i="1" s="1"/>
  <c r="E37" i="1"/>
  <c r="D37" i="1"/>
  <c r="D36" i="1" s="1"/>
  <c r="C37" i="1"/>
  <c r="C35" i="1"/>
  <c r="C34" i="1"/>
  <c r="G33" i="1"/>
  <c r="J33" i="1" s="1"/>
  <c r="F33" i="1"/>
  <c r="C33" i="1"/>
  <c r="G32" i="1"/>
  <c r="F32" i="1"/>
  <c r="H31" i="1"/>
  <c r="K31" i="1" s="1"/>
  <c r="G31" i="1"/>
  <c r="F31" i="1"/>
  <c r="I31" i="1" s="1"/>
  <c r="H30" i="1"/>
  <c r="G30" i="1"/>
  <c r="J30" i="1" s="1"/>
  <c r="F30" i="1"/>
  <c r="I30" i="1" s="1"/>
  <c r="K29" i="1"/>
  <c r="J29" i="1"/>
  <c r="I29" i="1"/>
  <c r="H29" i="1"/>
  <c r="G29" i="1"/>
  <c r="F29" i="1"/>
  <c r="D29" i="1"/>
  <c r="H27" i="1"/>
  <c r="K27" i="1" s="1"/>
  <c r="G27" i="1"/>
  <c r="F27" i="1"/>
  <c r="E27" i="1"/>
  <c r="C27" i="1"/>
  <c r="D27" i="1" s="1"/>
  <c r="J27" i="1" s="1"/>
  <c r="H26" i="1"/>
  <c r="F26" i="1"/>
  <c r="I26" i="1" s="1"/>
  <c r="E26" i="1"/>
  <c r="H25" i="1"/>
  <c r="G25" i="1"/>
  <c r="F25" i="1"/>
  <c r="G23" i="1"/>
  <c r="F23" i="1"/>
  <c r="I22" i="1"/>
  <c r="H22" i="1"/>
  <c r="H14" i="1" s="1"/>
  <c r="G22" i="1"/>
  <c r="F22" i="1"/>
  <c r="D20" i="1"/>
  <c r="H18" i="1"/>
  <c r="G18" i="1"/>
  <c r="F18" i="1"/>
  <c r="H17" i="1"/>
  <c r="G17" i="1"/>
  <c r="F17" i="1"/>
  <c r="H15" i="1"/>
  <c r="K15" i="1" s="1"/>
  <c r="G15" i="1"/>
  <c r="J15" i="1" s="1"/>
  <c r="F15" i="1"/>
  <c r="I15" i="1" s="1"/>
  <c r="E15" i="1"/>
  <c r="D15" i="1"/>
  <c r="C15" i="1"/>
  <c r="G14" i="1"/>
  <c r="F14" i="1"/>
  <c r="F13" i="1" s="1"/>
  <c r="E14" i="1"/>
  <c r="D14" i="1" s="1"/>
  <c r="C14" i="1"/>
  <c r="G13" i="1"/>
  <c r="E13" i="1"/>
  <c r="E12" i="1" s="1"/>
  <c r="I27" i="1" l="1"/>
  <c r="I33" i="1"/>
  <c r="D13" i="1"/>
  <c r="D12" i="1" s="1"/>
  <c r="G48" i="1"/>
  <c r="J49" i="1"/>
  <c r="I73" i="1"/>
  <c r="K48" i="1"/>
  <c r="F70" i="1"/>
  <c r="C62" i="1"/>
  <c r="J14" i="1"/>
  <c r="K14" i="1"/>
  <c r="H13" i="1"/>
  <c r="J69" i="1"/>
  <c r="I63" i="1"/>
  <c r="F62" i="1"/>
  <c r="I62" i="1" s="1"/>
  <c r="F48" i="1"/>
  <c r="I49" i="1"/>
  <c r="C46" i="1"/>
  <c r="C36" i="1" s="1"/>
  <c r="I13" i="1"/>
  <c r="I74" i="1"/>
  <c r="G68" i="1"/>
  <c r="C13" i="1"/>
  <c r="I64" i="1"/>
  <c r="I72" i="1"/>
  <c r="G63" i="1"/>
  <c r="I14" i="1"/>
  <c r="K49" i="1"/>
  <c r="H63" i="1"/>
  <c r="F67" i="1"/>
  <c r="I67" i="1" s="1"/>
  <c r="G72" i="1"/>
  <c r="I53" i="1"/>
  <c r="J50" i="1"/>
  <c r="J13" i="1" l="1"/>
  <c r="K63" i="1"/>
  <c r="H62" i="1"/>
  <c r="G62" i="1"/>
  <c r="J62" i="1" s="1"/>
  <c r="J63" i="1"/>
  <c r="K13" i="1"/>
  <c r="J48" i="1"/>
  <c r="G70" i="1"/>
  <c r="J72" i="1"/>
  <c r="C12" i="1"/>
  <c r="I48" i="1"/>
  <c r="F47" i="1"/>
  <c r="J68" i="1"/>
  <c r="G67" i="1"/>
  <c r="J67" i="1" s="1"/>
  <c r="I47" i="1" l="1"/>
  <c r="F46" i="1"/>
  <c r="K62" i="1"/>
  <c r="H47" i="1"/>
  <c r="G47" i="1"/>
  <c r="J47" i="1" l="1"/>
  <c r="G46" i="1"/>
  <c r="K47" i="1"/>
  <c r="H46" i="1"/>
  <c r="I46" i="1"/>
  <c r="F36" i="1"/>
  <c r="K46" i="1" l="1"/>
  <c r="H36" i="1"/>
  <c r="J46" i="1"/>
  <c r="G36" i="1"/>
  <c r="I36" i="1"/>
  <c r="F12" i="1"/>
  <c r="I12" i="1" s="1"/>
  <c r="K36" i="1" l="1"/>
  <c r="H12" i="1"/>
  <c r="K12" i="1" s="1"/>
  <c r="J36" i="1"/>
  <c r="G12" i="1"/>
  <c r="J12" i="1" s="1"/>
</calcChain>
</file>

<file path=xl/sharedStrings.xml><?xml version="1.0" encoding="utf-8"?>
<sst xmlns="http://schemas.openxmlformats.org/spreadsheetml/2006/main" count="149" uniqueCount="130">
  <si>
    <t>Phụ lục số 05:</t>
  </si>
  <si>
    <t xml:space="preserve">QUYẾT TOÁN CHI NGÂN SÁCH ĐỊA PHƯƠNG, CHI NGÂN SÁCH CẤP TỈNH </t>
  </si>
  <si>
    <t>VÀ CHI NGÂN SÁCH HUYỆN THEO CƠ CẤU CHI NĂM 2017</t>
  </si>
  <si>
    <t>(Kèm theo Nghị quyết số          /NQ-HĐND ngày 07/12/2018 của HĐND tỉnh Phú Yên)</t>
  </si>
  <si>
    <t>ĐVT: Triệu đồng</t>
  </si>
  <si>
    <t>Nội dung chi</t>
  </si>
  <si>
    <t>Dự toán</t>
  </si>
  <si>
    <t>Bao gồm</t>
  </si>
  <si>
    <t>Quyết toán</t>
  </si>
  <si>
    <t>So sánh (%)</t>
  </si>
  <si>
    <t>Ghi chú</t>
  </si>
  <si>
    <t>NS cấp tỉnh</t>
  </si>
  <si>
    <t>NS cấp huyện</t>
  </si>
  <si>
    <t>NSĐP</t>
  </si>
  <si>
    <t>A</t>
  </si>
  <si>
    <t>B</t>
  </si>
  <si>
    <t>4=5+6</t>
  </si>
  <si>
    <t>7=4/1</t>
  </si>
  <si>
    <t>8=5/2</t>
  </si>
  <si>
    <t>9=6/3</t>
  </si>
  <si>
    <t>TỔNG CHI NGÂN SÁCH ĐỊA PHƯƠNG (A+B+C)</t>
  </si>
  <si>
    <t>CHI CÂN ĐỐI NGÂN SÁCH ĐỊA PHƯƠNG</t>
  </si>
  <si>
    <t>I</t>
  </si>
  <si>
    <t>Chi đầu tư phát triển</t>
  </si>
  <si>
    <t>Chi đầu tư cho các dự án</t>
  </si>
  <si>
    <t>Trong đó: Chia theo lĩnh vực</t>
  </si>
  <si>
    <t xml:space="preserve"> - Chi Giáo dục - đào tạo và dạy nghề</t>
  </si>
  <si>
    <t xml:space="preserve"> - Chi Khoa học và công nghệ</t>
  </si>
  <si>
    <t>Trong đó: Chia theo nguồn vốn</t>
  </si>
  <si>
    <t xml:space="preserve"> - Chi đầu tư từ nguồn thu tiền sử dụng đất</t>
  </si>
  <si>
    <t xml:space="preserve"> - Chi đầu tư từ nguồn thu xổ số kiến thiết</t>
  </si>
  <si>
    <t>Chi đầu tư và hỗ trợ vốn cho các doanh nghiệp hoạt động cung cấp sản phẩm, dịch vụ công ích do Nhà nước đặt hàng, các tổ chức kinh tế, các tổ chức tài chính của địa phương theo quy định của pháp luật</t>
  </si>
  <si>
    <t>Chi đầu tư phát triển khác</t>
  </si>
  <si>
    <t>Chi từ nguồn huy động theo khoản 5 Điều 7 Luật NSNN</t>
  </si>
  <si>
    <t>Ghi thu - ghi chi từ tiền thuê đất</t>
  </si>
  <si>
    <t>Chi từ nguồn huy động đóng góp khác</t>
  </si>
  <si>
    <t>II</t>
  </si>
  <si>
    <t>Chi thường xuyên</t>
  </si>
  <si>
    <t>Trong đó</t>
  </si>
  <si>
    <t>Chi giáo dục - đào tạo và dạy nghề</t>
  </si>
  <si>
    <t xml:space="preserve">Chi khoa học và công nghệ </t>
  </si>
  <si>
    <t>Các khoản chi để lại đơn vị quản lý qua ngân sách</t>
  </si>
  <si>
    <t>III</t>
  </si>
  <si>
    <t>Chi trả nợ lãi các khoản do chính quyền địa phương vay</t>
  </si>
  <si>
    <t>IV</t>
  </si>
  <si>
    <t>Chi bổ sung quỹ dự trữ tài chính</t>
  </si>
  <si>
    <t>V</t>
  </si>
  <si>
    <t>Dự phòng ngân sách</t>
  </si>
  <si>
    <t>VI</t>
  </si>
  <si>
    <t>Chi tạo nguồn, điều chỉnh tiền lương</t>
  </si>
  <si>
    <t>CHI CÁC CHUONG TRÌNH MỤC TIÊU</t>
  </si>
  <si>
    <t>Chi các chương trình mục tiêu quốc gia</t>
  </si>
  <si>
    <t>Chương trình MTQG giảm nghèo bền vững</t>
  </si>
  <si>
    <t xml:space="preserve"> - Chi đầu tư phát triển</t>
  </si>
  <si>
    <t xml:space="preserve"> - Chi thường xuyên</t>
  </si>
  <si>
    <t>Chương trình MTQG xây dựng nông thôn mới</t>
  </si>
  <si>
    <t>Chương trình MTQG về việc làm</t>
  </si>
  <si>
    <t>Chi các chương trình mục tiêu, nhiệm vụ</t>
  </si>
  <si>
    <t>Chi đầu tư XDCB</t>
  </si>
  <si>
    <t>Dự toán giao đầu năm bổ sung có mục tiêu từ NSTW</t>
  </si>
  <si>
    <t>a</t>
  </si>
  <si>
    <t>Vốn trong nước</t>
  </si>
  <si>
    <t xml:space="preserve"> - Chương trình mục tiêu đầu tư hạ tầng khu kinh tế ven biển, khu kinh tế cửa khẩu, khu công nghiệp, cụm công nghiệp, khu công nghệ cao, khu nông nghiệp ứng dụng công nghệ cao</t>
  </si>
  <si>
    <t xml:space="preserve"> - Chương trình mục tiêu giáo dục nghề nghiệp -Việc làm và ATLĐ</t>
  </si>
  <si>
    <t xml:space="preserve"> - Chương trình mục tiêu hỗ trợ hạ tầng du lịch</t>
  </si>
  <si>
    <t xml:space="preserve"> - Chương trình mục tiêu hỗ trợ vốn đối ứng ODA các địa phương</t>
  </si>
  <si>
    <t xml:space="preserve"> - Chương trình mục tiêu phát triển kinh tế thủy sản bền vững</t>
  </si>
  <si>
    <t xml:space="preserve"> - Chương trình mục tiêu phát triển kinh tế - xã hội vùng</t>
  </si>
  <si>
    <t xml:space="preserve"> - Chương trình mục tiêu phát triển lâm nghiệp bền vững</t>
  </si>
  <si>
    <t xml:space="preserve"> - Chương trình mục tiêu Quốc phòng - AN trên địa bàn trọng điểm</t>
  </si>
  <si>
    <t xml:space="preserve"> - Chương trình mục tiêu tái cơ cấu nông nghiệp và phòng chống giảm nhẹ thiên tai ổn định đời sống dân cư</t>
  </si>
  <si>
    <t xml:space="preserve"> - Chương trình mục tiêu Y tế - dân số</t>
  </si>
  <si>
    <t xml:space="preserve"> - Chương trình mục tiêu đầu tư phát triển hệ thống y tế địa phương</t>
  </si>
  <si>
    <t>b</t>
  </si>
  <si>
    <t>Vốn ngoài nước</t>
  </si>
  <si>
    <t>Dự toán giao bổ sung có mục tiêu trong năm từ NSTW</t>
  </si>
  <si>
    <t xml:space="preserve"> - Vốn Trái phiếu chính phủ thực hiện các dự án giao thông, y tế, giáo dục và chương trình Kiên cố hóa trường lớp học</t>
  </si>
  <si>
    <t xml:space="preserve"> - Vốn dự phòng ngân sách trung ương</t>
  </si>
  <si>
    <t xml:space="preserve"> - Kinh phí khen thưởng Nông thôn mới</t>
  </si>
  <si>
    <t xml:space="preserve"> - Chương trình mục tiêu ứng phó với biến đổi khí hậu và tăng trưởng xanh</t>
  </si>
  <si>
    <t xml:space="preserve"> - Nguồn ODA địa phương vay lại của chính phủ</t>
  </si>
  <si>
    <t>Chính sách trợ giúp pháp lý theo QĐ 32/2016/QĐ-TTg</t>
  </si>
  <si>
    <t xml:space="preserve">Chương trình mục tiêu phát triển lâm nghiệp bền vững </t>
  </si>
  <si>
    <t>Chương trình mục tiêu Giáo dục nghề nghiệp - việc làm và ATLĐ</t>
  </si>
  <si>
    <t>Chuyển nguồn năm 2016 sang 2.000 triệu đồng</t>
  </si>
  <si>
    <t xml:space="preserve">Chương trình mục tiêu phát triển hệ thống trợ giúp xã hội </t>
  </si>
  <si>
    <t xml:space="preserve">Chương trình mục tiêu Y tế - Dân số </t>
  </si>
  <si>
    <t>Chuyển nguồn năm 2016 sang 197 triệu đồng</t>
  </si>
  <si>
    <t xml:space="preserve">Chương trình mục tiêu Phát triển văn hóa </t>
  </si>
  <si>
    <t xml:space="preserve">Kinh phí thực hiện dự án Hoàn thiện Hiện đại hoá hồ sơ, bản đồ, địa giới hành chính và xây dựng cơ sở dữ liệu về địa giới hành chính </t>
  </si>
  <si>
    <t>Chuyển nguồn năm 2016 sang 163 triệu đồng</t>
  </si>
  <si>
    <t xml:space="preserve">Kinh phí quản lý bảo trì đường bộ </t>
  </si>
  <si>
    <t>Kinh phí bù giảm thu theo Nghị định 209/2013/NĐ-CP ngày 18/12/2013 của Chính phủ</t>
  </si>
  <si>
    <t>Chuyển nguồn năm 2016 sang 21.868 triệu đồng</t>
  </si>
  <si>
    <t xml:space="preserve">Kinh phí khắc phục hậu quả ô nhiễm môi trường do mưa lũ gây ra  </t>
  </si>
  <si>
    <t>Quỹ Bảo vệ môi trường VN hỗ trợ cho NS tỉnh 500 tr.đ</t>
  </si>
  <si>
    <t>Kinh phí thực hiện tinh giản biên chế theo Nghị định 108/2014/NĐ-CP ngày 20/11/2014 của Chính phủ</t>
  </si>
  <si>
    <t>Kinh phí chi thưởng cho bà mẹ được tặng danh hiệu vinh dự Nhà nước "Bà mẹ Việt Nam anh hùng"</t>
  </si>
  <si>
    <t>Kinh phí đào tạo, bồi dưỡng CBCC cấp cơ sở theo Quyết định 124/QĐ-TTg ngày 16/01/2014 của Thủ tướng Chính phủ</t>
  </si>
  <si>
    <t>Chuyển nguồn năm 2016 sang 663 triệu đồng</t>
  </si>
  <si>
    <t>Kinh phí hỗ trợ phẫu thuật tim cho trẻ em bị bệnh tim bẩm sinh</t>
  </si>
  <si>
    <t>Trả nguồn ngân sách tỉnh 705 triệu đồng</t>
  </si>
  <si>
    <t>Kinh phí trợ cấp 1 lần theo Quyết định số 24/2016/QĐ-TTg ngày 14/6/2016 của Thủ tướng Chính phủ</t>
  </si>
  <si>
    <t>Chuyển nguồn năm 2016 sang 918 triệu đồng</t>
  </si>
  <si>
    <t>Hỗ trợ kinh phí Hội Văn học nghệ thuật và hội nhà báo năm 2017</t>
  </si>
  <si>
    <t xml:space="preserve">Kinh phí thực hiện Quyết định số 799/QĐ-TTg ngày 25/5/2011 của Thủ tướng Chính phủ </t>
  </si>
  <si>
    <t>Chính sách hỗ trợ cho phụ nữ nghèo là người dân tộc  thiểu số khi sinh con đúng chính sách dân số theo Nghị định 39/2015/NĐ-CP ngày 27/4/2015 của Chính phủ</t>
  </si>
  <si>
    <t>Chuyển nguồn năm 2016 sang 248 triệu đồng</t>
  </si>
  <si>
    <t xml:space="preserve">Kinh phí thực hiện chính sách phát triển thuỷ sản </t>
  </si>
  <si>
    <t xml:space="preserve">Kinh phí thực hiện chính sách hỗ trợ ngư dân </t>
  </si>
  <si>
    <t>Chuyển nguồn năm 2016 sang 45.990 triệu đồng</t>
  </si>
  <si>
    <t>Kinh phí giải quyết chế độ theo NĐ 26/2015/NĐ-CP của Chính phủ</t>
  </si>
  <si>
    <t xml:space="preserve">Kinh phí hỗ trợ tiền điện hộ nghèo và hộ chính sách </t>
  </si>
  <si>
    <t>Kinh phí hỗ trợ bố trí dân cư theo Quyết định 1776/QĐ-TTg của Thủ tướng Chính phủ</t>
  </si>
  <si>
    <t>Chuyển nguồn năm 2016 sang 580 triệu đồng</t>
  </si>
  <si>
    <t xml:space="preserve">Kinh phí khắc phục hậu quả mưa lũ gây ra năm 2016 </t>
  </si>
  <si>
    <t>Chuyển nguồn năm 2016 sang 5.234 triệu đồng</t>
  </si>
  <si>
    <t>Kinh phí hỗ trợ địa phương mua thiết bị chiếu phim và ô tô chuyên dùng chiếu phim lưu động năm 2017</t>
  </si>
  <si>
    <t xml:space="preserve">Kinh phí thực hiện miễn, giảm học phí, hỗ trợ chi phí học tập năm học 2015-2016 và học kì I năm 2016-2017 </t>
  </si>
  <si>
    <t>Chuyển nguồn năm 2016 sang 6.700 triệu đồng</t>
  </si>
  <si>
    <t>Một số nhiệm vụ khác</t>
  </si>
  <si>
    <t>Chuyển nguồn năm 2016 sang 677 triệu đồng</t>
  </si>
  <si>
    <t>C</t>
  </si>
  <si>
    <t>CHI CHUYỂN NGUỒN SANG NĂM SAU</t>
  </si>
  <si>
    <t>D</t>
  </si>
  <si>
    <t>CHI NỘP NGÂN SÁCH CẤP TRÊN</t>
  </si>
  <si>
    <r>
      <rPr>
        <b/>
        <i/>
        <sz val="12"/>
        <rFont val="Times New Roman"/>
        <family val="1"/>
      </rPr>
      <t>Ghi chú</t>
    </r>
    <r>
      <rPr>
        <sz val="12"/>
        <rFont val="Times New Roman"/>
        <family val="1"/>
      </rPr>
      <t>: Số quyết toán chi các chương trình mục tiêu, nhiệm vụ đã bao gồm số bổ sung từ NSTW trong năm là 655.206 triệu đồng, trong đó chi Chương trình MTQG là 37.148</t>
    </r>
  </si>
  <si>
    <t>triệu đồng, chi XDCB là 331.713 triệu đồng và chi thường xuyên là 286.345 triệu đồng.</t>
  </si>
  <si>
    <t>UBND TỈNH PHÚ YÊN</t>
  </si>
  <si>
    <t>Biểu số 64/CK-NSNN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</si>
</sst>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2"/>
      <color theme="1"/>
      <name val="Times New Roman"/>
      <family val="2"/>
    </font>
    <font>
      <sz val="12"/>
      <color theme="1"/>
      <name val="Times New Roman"/>
      <family val="2"/>
    </font>
    <font>
      <sz val="12"/>
      <name val="Times New Roman"/>
      <family val="1"/>
    </font>
    <font>
      <b/>
      <sz val="12"/>
      <color theme="1"/>
      <name val="Times New Roman"/>
      <family val="1"/>
    </font>
    <font>
      <b/>
      <sz val="14"/>
      <name val="Times New Roman"/>
      <family val="1"/>
    </font>
    <font>
      <i/>
      <sz val="12"/>
      <name val="Times New Roman"/>
      <family val="1"/>
    </font>
    <font>
      <b/>
      <sz val="12"/>
      <name val="Times New Roman"/>
      <family val="1"/>
    </font>
    <font>
      <i/>
      <sz val="10"/>
      <name val="Times New Roman"/>
      <family val="1"/>
    </font>
    <font>
      <sz val="8"/>
      <name val="Times New Roman"/>
      <family val="1"/>
    </font>
    <font>
      <b/>
      <sz val="12"/>
      <color rgb="FFFF0000"/>
      <name val="Times New Roman"/>
      <family val="1"/>
    </font>
    <font>
      <b/>
      <sz val="12"/>
      <color rgb="FF00B0F0"/>
      <name val="Times New Roman"/>
      <family val="1"/>
    </font>
    <font>
      <sz val="12"/>
      <color rgb="FF00B050"/>
      <name val="Times New Roman"/>
      <family val="1"/>
    </font>
    <font>
      <b/>
      <sz val="12"/>
      <color theme="7" tint="-0.249977111117893"/>
      <name val="Times New Roman"/>
      <family val="1"/>
    </font>
    <font>
      <b/>
      <i/>
      <sz val="12"/>
      <color rgb="FFFF0000"/>
      <name val="Times New Roman"/>
      <family val="1"/>
    </font>
    <font>
      <b/>
      <sz val="10"/>
      <name val="Times New Roman"/>
      <family val="1"/>
      <charset val="163"/>
    </font>
    <font>
      <b/>
      <sz val="12"/>
      <name val="Times New Roman"/>
      <family val="1"/>
      <charset val="163"/>
    </font>
    <font>
      <b/>
      <i/>
      <sz val="12"/>
      <name val="Times New Roman"/>
      <family val="1"/>
      <charset val="163"/>
    </font>
    <font>
      <sz val="12"/>
      <name val="Times New Roman"/>
      <family val="1"/>
      <charset val="163"/>
    </font>
    <font>
      <b/>
      <i/>
      <sz val="12"/>
      <name val="Times New Roman"/>
      <family val="1"/>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2" fillId="0" borderId="0" xfId="0" applyFont="1" applyAlignment="1">
      <alignment horizontal="center"/>
    </xf>
    <xf numFmtId="0" fontId="3" fillId="0" borderId="0" xfId="0" applyFont="1" applyAlignment="1">
      <alignment horizontal="center"/>
    </xf>
    <xf numFmtId="0" fontId="2" fillId="0" borderId="0" xfId="0" applyFont="1"/>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right" vertical="center"/>
    </xf>
    <xf numFmtId="164" fontId="2" fillId="0" borderId="0" xfId="1" applyNumberFormat="1" applyFont="1"/>
    <xf numFmtId="0" fontId="7" fillId="0" borderId="1"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xf>
    <xf numFmtId="0" fontId="6" fillId="0" borderId="0" xfId="0" applyFont="1"/>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2" fillId="0" borderId="11" xfId="0" applyFont="1" applyBorder="1"/>
    <xf numFmtId="0" fontId="8" fillId="0" borderId="0" xfId="0" applyFont="1"/>
    <xf numFmtId="0" fontId="2" fillId="0" borderId="2" xfId="0" applyFont="1" applyBorder="1" applyAlignment="1">
      <alignment horizontal="center" vertical="center" wrapText="1"/>
    </xf>
    <xf numFmtId="0" fontId="6" fillId="0" borderId="2" xfId="0" applyFont="1" applyBorder="1" applyAlignment="1">
      <alignment horizontal="center" vertical="center" wrapText="1"/>
    </xf>
    <xf numFmtId="3" fontId="6" fillId="0" borderId="2" xfId="1" applyNumberFormat="1" applyFont="1" applyBorder="1" applyAlignment="1">
      <alignment horizontal="right" vertical="center" wrapText="1"/>
    </xf>
    <xf numFmtId="4" fontId="6" fillId="0" borderId="3" xfId="1" applyNumberFormat="1" applyFont="1" applyBorder="1" applyAlignment="1">
      <alignment horizontal="right" vertical="center" wrapText="1"/>
    </xf>
    <xf numFmtId="0" fontId="2" fillId="0" borderId="2" xfId="0" applyFont="1" applyBorder="1"/>
    <xf numFmtId="3" fontId="8" fillId="0" borderId="0" xfId="0" applyNumberFormat="1" applyFont="1"/>
    <xf numFmtId="0" fontId="9" fillId="0" borderId="0" xfId="0" applyFont="1"/>
    <xf numFmtId="3" fontId="2" fillId="0" borderId="0" xfId="0" applyNumberFormat="1" applyFont="1"/>
    <xf numFmtId="0" fontId="6" fillId="0" borderId="12" xfId="0" applyFont="1" applyBorder="1" applyAlignment="1">
      <alignment horizontal="left" vertical="center" wrapText="1"/>
    </xf>
    <xf numFmtId="0" fontId="6" fillId="0" borderId="12" xfId="0" applyFont="1" applyBorder="1" applyAlignment="1">
      <alignment vertical="center" wrapText="1"/>
    </xf>
    <xf numFmtId="3" fontId="6" fillId="0" borderId="12" xfId="1" applyNumberFormat="1" applyFont="1" applyBorder="1" applyAlignment="1">
      <alignment horizontal="right" vertical="center" wrapText="1"/>
    </xf>
    <xf numFmtId="4" fontId="6" fillId="0" borderId="13" xfId="1" applyNumberFormat="1" applyFont="1" applyBorder="1" applyAlignment="1">
      <alignment horizontal="right" vertical="center" wrapText="1"/>
    </xf>
    <xf numFmtId="0" fontId="2" fillId="0" borderId="14" xfId="0" applyFont="1" applyBorder="1"/>
    <xf numFmtId="0" fontId="6" fillId="0" borderId="13" xfId="0" applyFont="1" applyBorder="1" applyAlignment="1">
      <alignment horizontal="center" vertical="center" wrapText="1"/>
    </xf>
    <xf numFmtId="0" fontId="6" fillId="0" borderId="13" xfId="0" applyFont="1" applyBorder="1" applyAlignment="1">
      <alignment vertical="center" wrapText="1"/>
    </xf>
    <xf numFmtId="3" fontId="6" fillId="0" borderId="13" xfId="0" applyNumberFormat="1" applyFont="1" applyBorder="1" applyAlignment="1">
      <alignment horizontal="right" vertical="center" wrapText="1"/>
    </xf>
    <xf numFmtId="4" fontId="6" fillId="0" borderId="12" xfId="1" applyNumberFormat="1" applyFont="1" applyBorder="1" applyAlignment="1">
      <alignment horizontal="right" vertical="center" wrapText="1"/>
    </xf>
    <xf numFmtId="0" fontId="2" fillId="0" borderId="13" xfId="0" applyFont="1" applyBorder="1"/>
    <xf numFmtId="3" fontId="10" fillId="0" borderId="0" xfId="0" applyNumberFormat="1" applyFont="1"/>
    <xf numFmtId="3" fontId="9" fillId="0" borderId="0" xfId="0" applyNumberFormat="1" applyFont="1"/>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13" xfId="1" applyNumberFormat="1" applyFont="1" applyBorder="1" applyAlignment="1">
      <alignment horizontal="right" vertical="center" wrapText="1"/>
    </xf>
    <xf numFmtId="3" fontId="2" fillId="0" borderId="13" xfId="0" applyNumberFormat="1" applyFont="1" applyBorder="1" applyAlignment="1">
      <alignment horizontal="right" vertical="center" wrapText="1"/>
    </xf>
    <xf numFmtId="3" fontId="2" fillId="0" borderId="12" xfId="0" applyNumberFormat="1" applyFont="1" applyBorder="1" applyAlignment="1">
      <alignment horizontal="right" vertical="center" wrapText="1"/>
    </xf>
    <xf numFmtId="4" fontId="2" fillId="0" borderId="12" xfId="1" applyNumberFormat="1" applyFont="1" applyBorder="1" applyAlignment="1">
      <alignment horizontal="right" vertical="center" wrapText="1"/>
    </xf>
    <xf numFmtId="3" fontId="2" fillId="2" borderId="0" xfId="0" applyNumberFormat="1" applyFont="1" applyFill="1"/>
    <xf numFmtId="0" fontId="5" fillId="0" borderId="13" xfId="0" applyFont="1" applyBorder="1" applyAlignment="1">
      <alignment vertical="center" wrapText="1"/>
    </xf>
    <xf numFmtId="3" fontId="2" fillId="0" borderId="13" xfId="1" applyNumberFormat="1" applyFont="1" applyBorder="1" applyAlignment="1">
      <alignment horizontal="center" vertical="center" wrapText="1"/>
    </xf>
    <xf numFmtId="3" fontId="2" fillId="0" borderId="13" xfId="0" applyNumberFormat="1" applyFont="1" applyBorder="1" applyAlignment="1">
      <alignment horizontal="center" vertical="center" wrapText="1"/>
    </xf>
    <xf numFmtId="3" fontId="11" fillId="0" borderId="0" xfId="0" applyNumberFormat="1" applyFont="1"/>
    <xf numFmtId="0" fontId="2" fillId="0" borderId="13" xfId="0" quotePrefix="1" applyFont="1" applyBorder="1" applyAlignment="1">
      <alignment vertical="center" wrapText="1"/>
    </xf>
    <xf numFmtId="0" fontId="11" fillId="0" borderId="0" xfId="0" applyFont="1"/>
    <xf numFmtId="3" fontId="2" fillId="0" borderId="12" xfId="1" applyNumberFormat="1" applyFont="1" applyBorder="1" applyAlignment="1">
      <alignment horizontal="right" vertical="center" wrapText="1"/>
    </xf>
    <xf numFmtId="3" fontId="2" fillId="0" borderId="12" xfId="0" applyNumberFormat="1" applyFont="1" applyBorder="1" applyAlignment="1">
      <alignment horizontal="center" vertical="center" wrapText="1"/>
    </xf>
    <xf numFmtId="3" fontId="6" fillId="0" borderId="13" xfId="1" applyNumberFormat="1" applyFont="1" applyBorder="1" applyAlignment="1">
      <alignment horizontal="right" vertical="center" wrapText="1"/>
    </xf>
    <xf numFmtId="3" fontId="6" fillId="0" borderId="0" xfId="0" applyNumberFormat="1" applyFont="1"/>
    <xf numFmtId="3" fontId="6" fillId="0" borderId="13" xfId="1" applyNumberFormat="1" applyFont="1" applyBorder="1" applyAlignment="1">
      <alignment horizontal="center" vertical="center" wrapText="1"/>
    </xf>
    <xf numFmtId="164" fontId="6" fillId="0" borderId="13" xfId="1" applyNumberFormat="1" applyFont="1" applyBorder="1" applyAlignment="1">
      <alignment horizontal="center" vertical="center" wrapText="1"/>
    </xf>
    <xf numFmtId="3" fontId="12" fillId="0" borderId="0" xfId="0" applyNumberFormat="1" applyFont="1"/>
    <xf numFmtId="0" fontId="6" fillId="0" borderId="8" xfId="0" applyFont="1" applyBorder="1" applyAlignment="1">
      <alignment vertical="center" wrapText="1"/>
    </xf>
    <xf numFmtId="3" fontId="6" fillId="0" borderId="8" xfId="1" applyNumberFormat="1" applyFont="1" applyBorder="1" applyAlignment="1">
      <alignment horizontal="right" vertical="center" wrapText="1"/>
    </xf>
    <xf numFmtId="3" fontId="6" fillId="0" borderId="8" xfId="0" applyNumberFormat="1" applyFont="1" applyBorder="1" applyAlignment="1">
      <alignment horizontal="right" vertical="center" wrapText="1"/>
    </xf>
    <xf numFmtId="4" fontId="6" fillId="0" borderId="8" xfId="1" applyNumberFormat="1" applyFont="1" applyBorder="1" applyAlignment="1">
      <alignment horizontal="right" vertical="center" wrapText="1"/>
    </xf>
    <xf numFmtId="0" fontId="6" fillId="0" borderId="12" xfId="0" applyFont="1" applyBorder="1" applyAlignment="1">
      <alignment horizontal="center" vertical="center" wrapText="1"/>
    </xf>
    <xf numFmtId="3" fontId="6" fillId="0" borderId="12" xfId="0" applyNumberFormat="1" applyFont="1" applyBorder="1" applyAlignment="1">
      <alignment horizontal="right" vertical="center" wrapText="1"/>
    </xf>
    <xf numFmtId="0" fontId="2" fillId="3" borderId="13" xfId="0" applyFont="1" applyFill="1" applyBorder="1" applyAlignment="1">
      <alignment vertical="center" wrapText="1"/>
    </xf>
    <xf numFmtId="3" fontId="2" fillId="3" borderId="13" xfId="1" applyNumberFormat="1" applyFont="1" applyFill="1" applyBorder="1" applyAlignment="1">
      <alignment horizontal="right" vertical="center" wrapText="1"/>
    </xf>
    <xf numFmtId="4" fontId="2" fillId="0" borderId="13" xfId="1" applyNumberFormat="1" applyFont="1" applyBorder="1" applyAlignment="1">
      <alignment horizontal="right" vertical="center" wrapText="1"/>
    </xf>
    <xf numFmtId="0" fontId="2" fillId="0" borderId="12" xfId="0" applyFont="1" applyBorder="1" applyAlignment="1">
      <alignment horizontal="center" vertical="center" wrapText="1"/>
    </xf>
    <xf numFmtId="0" fontId="2" fillId="3" borderId="12" xfId="0" applyFont="1" applyFill="1" applyBorder="1" applyAlignment="1">
      <alignment vertical="center" wrapText="1"/>
    </xf>
    <xf numFmtId="3" fontId="2" fillId="3" borderId="12" xfId="1" applyNumberFormat="1" applyFont="1" applyFill="1" applyBorder="1" applyAlignment="1">
      <alignment horizontal="right" vertical="center" wrapText="1"/>
    </xf>
    <xf numFmtId="0" fontId="2" fillId="0" borderId="15" xfId="0" applyFont="1" applyBorder="1"/>
    <xf numFmtId="0" fontId="2" fillId="0" borderId="8" xfId="0" applyFont="1" applyBorder="1"/>
    <xf numFmtId="0" fontId="2" fillId="0" borderId="12" xfId="0" applyFont="1" applyBorder="1" applyAlignment="1">
      <alignment vertical="center" wrapText="1"/>
    </xf>
    <xf numFmtId="0" fontId="13" fillId="0" borderId="13" xfId="0" applyFont="1" applyBorder="1" applyAlignment="1">
      <alignment horizontal="center" vertical="center" wrapText="1"/>
    </xf>
    <xf numFmtId="0" fontId="13" fillId="0" borderId="16" xfId="0" applyFont="1" applyBorder="1" applyAlignment="1">
      <alignment vertical="center" wrapText="1"/>
    </xf>
    <xf numFmtId="3" fontId="13" fillId="0" borderId="13" xfId="1" applyNumberFormat="1" applyFont="1" applyBorder="1" applyAlignment="1">
      <alignment horizontal="right" vertical="center" wrapText="1"/>
    </xf>
    <xf numFmtId="0" fontId="14" fillId="3" borderId="13" xfId="0" applyFont="1" applyFill="1" applyBorder="1" applyAlignment="1">
      <alignment horizontal="center" vertical="center" wrapText="1"/>
    </xf>
    <xf numFmtId="0" fontId="15" fillId="3" borderId="16" xfId="0" applyFont="1" applyFill="1" applyBorder="1" applyAlignment="1">
      <alignment vertical="center" wrapText="1"/>
    </xf>
    <xf numFmtId="3" fontId="16" fillId="0" borderId="13" xfId="1" applyNumberFormat="1" applyFont="1" applyBorder="1" applyAlignment="1">
      <alignment horizontal="right" vertical="center" wrapText="1"/>
    </xf>
    <xf numFmtId="0" fontId="17" fillId="0" borderId="13" xfId="0" applyFont="1" applyBorder="1"/>
    <xf numFmtId="0" fontId="17" fillId="0" borderId="0" xfId="0" applyFont="1"/>
    <xf numFmtId="0" fontId="16" fillId="0" borderId="13" xfId="0" applyFont="1" applyBorder="1" applyAlignment="1">
      <alignment horizontal="center" vertical="center" wrapText="1"/>
    </xf>
    <xf numFmtId="0" fontId="16" fillId="0" borderId="17" xfId="0" applyFont="1" applyBorder="1" applyAlignment="1">
      <alignment vertical="center" wrapText="1"/>
    </xf>
    <xf numFmtId="0" fontId="16" fillId="0" borderId="8" xfId="0" applyFont="1" applyBorder="1" applyAlignment="1">
      <alignment horizontal="center" vertical="center" wrapText="1"/>
    </xf>
    <xf numFmtId="0" fontId="16" fillId="0" borderId="12" xfId="0" applyFont="1" applyBorder="1" applyAlignment="1">
      <alignment horizontal="center" vertical="center" wrapText="1"/>
    </xf>
    <xf numFmtId="0" fontId="15" fillId="3" borderId="19" xfId="0" applyFont="1" applyFill="1" applyBorder="1" applyAlignment="1">
      <alignment vertical="center" wrapText="1"/>
    </xf>
    <xf numFmtId="4" fontId="18" fillId="0" borderId="12" xfId="1" applyNumberFormat="1" applyFont="1" applyBorder="1" applyAlignment="1">
      <alignment horizontal="right" vertical="center" wrapText="1"/>
    </xf>
    <xf numFmtId="0" fontId="16" fillId="0" borderId="16" xfId="0" applyFont="1" applyBorder="1" applyAlignment="1">
      <alignment vertical="center" wrapText="1"/>
    </xf>
    <xf numFmtId="4" fontId="18" fillId="0" borderId="13" xfId="1" applyNumberFormat="1" applyFont="1" applyBorder="1" applyAlignment="1">
      <alignment horizontal="right" vertical="center" wrapText="1"/>
    </xf>
    <xf numFmtId="3" fontId="13" fillId="0" borderId="13" xfId="0" applyNumberFormat="1" applyFont="1" applyBorder="1" applyAlignment="1">
      <alignment horizontal="right" vertical="center" wrapText="1"/>
    </xf>
    <xf numFmtId="4" fontId="13" fillId="0" borderId="13" xfId="0" applyNumberFormat="1" applyFont="1" applyBorder="1" applyAlignment="1">
      <alignment horizontal="right" vertical="center" wrapText="1"/>
    </xf>
    <xf numFmtId="0" fontId="15" fillId="3" borderId="17" xfId="0" applyFont="1" applyFill="1" applyBorder="1" applyAlignment="1">
      <alignment vertical="center" wrapText="1"/>
    </xf>
    <xf numFmtId="3" fontId="2" fillId="3" borderId="13" xfId="0" applyNumberFormat="1" applyFont="1" applyFill="1" applyBorder="1" applyAlignment="1">
      <alignment vertical="center" wrapText="1"/>
    </xf>
    <xf numFmtId="0" fontId="13" fillId="0" borderId="12" xfId="0" applyFont="1" applyBorder="1" applyAlignment="1">
      <alignment horizontal="center" vertical="center" wrapText="1"/>
    </xf>
    <xf numFmtId="3" fontId="6" fillId="3" borderId="12" xfId="0" applyNumberFormat="1" applyFont="1" applyFill="1" applyBorder="1" applyAlignment="1">
      <alignment vertical="center" wrapText="1"/>
    </xf>
    <xf numFmtId="0" fontId="2" fillId="3" borderId="15" xfId="0" applyFont="1" applyFill="1" applyBorder="1" applyAlignment="1">
      <alignment vertical="center" wrapText="1"/>
    </xf>
    <xf numFmtId="3" fontId="2" fillId="0" borderId="13" xfId="0" applyNumberFormat="1" applyFont="1" applyBorder="1" applyAlignment="1">
      <alignment vertical="center" wrapText="1"/>
    </xf>
    <xf numFmtId="0" fontId="7" fillId="3" borderId="8" xfId="0" applyFont="1" applyFill="1" applyBorder="1" applyAlignment="1">
      <alignment vertical="center" wrapText="1"/>
    </xf>
    <xf numFmtId="0" fontId="2" fillId="0" borderId="19" xfId="0" applyFont="1" applyFill="1" applyBorder="1" applyAlignment="1">
      <alignment vertical="center" wrapText="1"/>
    </xf>
    <xf numFmtId="3" fontId="2" fillId="3" borderId="12" xfId="0" applyNumberFormat="1" applyFont="1" applyFill="1" applyBorder="1" applyAlignment="1">
      <alignment vertical="center" wrapText="1"/>
    </xf>
    <xf numFmtId="1" fontId="2" fillId="0" borderId="12" xfId="0" applyNumberFormat="1" applyFont="1" applyFill="1" applyBorder="1" applyAlignment="1">
      <alignment vertical="center" wrapText="1"/>
    </xf>
    <xf numFmtId="0" fontId="2" fillId="0" borderId="16" xfId="0" applyFont="1" applyFill="1" applyBorder="1" applyAlignment="1">
      <alignment vertical="center" wrapText="1"/>
    </xf>
    <xf numFmtId="0" fontId="7" fillId="3" borderId="15" xfId="0" applyFont="1" applyFill="1" applyBorder="1" applyAlignment="1">
      <alignment vertical="center" wrapText="1"/>
    </xf>
    <xf numFmtId="0" fontId="2" fillId="3" borderId="0" xfId="0" applyFont="1" applyFill="1"/>
    <xf numFmtId="0" fontId="2" fillId="3" borderId="20" xfId="0" applyFont="1" applyFill="1" applyBorder="1" applyAlignment="1">
      <alignment vertical="center" wrapText="1"/>
    </xf>
    <xf numFmtId="3" fontId="2" fillId="3" borderId="13" xfId="0" applyNumberFormat="1" applyFont="1" applyFill="1" applyBorder="1" applyAlignment="1">
      <alignment horizontal="right" vertical="center" wrapText="1"/>
    </xf>
    <xf numFmtId="0" fontId="2" fillId="3" borderId="13" xfId="0" applyFont="1" applyFill="1" applyBorder="1"/>
    <xf numFmtId="0" fontId="2" fillId="0" borderId="8" xfId="0" applyFont="1" applyBorder="1" applyAlignment="1">
      <alignment horizontal="center" vertical="center" wrapText="1"/>
    </xf>
    <xf numFmtId="3" fontId="2" fillId="3" borderId="8" xfId="1" applyNumberFormat="1" applyFont="1" applyFill="1" applyBorder="1" applyAlignment="1">
      <alignment horizontal="right" vertical="center" wrapText="1"/>
    </xf>
    <xf numFmtId="4" fontId="2" fillId="0" borderId="8" xfId="1" applyNumberFormat="1" applyFont="1" applyBorder="1" applyAlignment="1">
      <alignment horizontal="right" vertical="center" wrapText="1"/>
    </xf>
    <xf numFmtId="0" fontId="2" fillId="3" borderId="14" xfId="0" applyFont="1" applyFill="1" applyBorder="1" applyAlignment="1">
      <alignment vertical="center" wrapText="1"/>
    </xf>
    <xf numFmtId="3" fontId="2" fillId="3" borderId="12" xfId="0" applyNumberFormat="1" applyFont="1" applyFill="1" applyBorder="1" applyAlignment="1">
      <alignment horizontal="right" vertical="center" wrapText="1"/>
    </xf>
    <xf numFmtId="0" fontId="2" fillId="0" borderId="16" xfId="0" applyFont="1" applyFill="1" applyBorder="1" applyAlignment="1">
      <alignment vertical="center"/>
    </xf>
    <xf numFmtId="0" fontId="2" fillId="0" borderId="13" xfId="0" applyFont="1" applyFill="1" applyBorder="1" applyAlignment="1">
      <alignment vertical="center"/>
    </xf>
    <xf numFmtId="0" fontId="2" fillId="0" borderId="20" xfId="0" applyFont="1" applyFill="1" applyBorder="1" applyAlignment="1">
      <alignment vertical="center"/>
    </xf>
    <xf numFmtId="0" fontId="2" fillId="0" borderId="13" xfId="0" applyFont="1" applyBorder="1" applyAlignment="1">
      <alignment horizontal="justify" vertical="center" wrapText="1"/>
    </xf>
    <xf numFmtId="0" fontId="2" fillId="3" borderId="19" xfId="0" applyFont="1" applyFill="1" applyBorder="1" applyAlignment="1">
      <alignment vertical="center" wrapText="1"/>
    </xf>
    <xf numFmtId="0" fontId="2" fillId="0" borderId="12" xfId="0" applyFont="1" applyBorder="1"/>
    <xf numFmtId="0" fontId="2" fillId="0" borderId="15" xfId="0" applyFont="1" applyFill="1" applyBorder="1" applyAlignment="1">
      <alignment vertical="center" wrapText="1"/>
    </xf>
    <xf numFmtId="0" fontId="6" fillId="0" borderId="15" xfId="0" applyFont="1" applyBorder="1" applyAlignment="1">
      <alignment horizontal="left" vertical="center" wrapText="1"/>
    </xf>
    <xf numFmtId="0" fontId="6" fillId="0" borderId="15" xfId="0" applyFont="1" applyBorder="1" applyAlignment="1">
      <alignment vertical="center" wrapText="1"/>
    </xf>
    <xf numFmtId="3" fontId="2" fillId="0" borderId="15" xfId="1" applyNumberFormat="1" applyFont="1" applyBorder="1" applyAlignment="1">
      <alignment horizontal="center" vertical="center" wrapText="1"/>
    </xf>
    <xf numFmtId="3" fontId="6" fillId="0" borderId="15" xfId="0" applyNumberFormat="1" applyFont="1" applyBorder="1" applyAlignment="1">
      <alignment horizontal="right" vertical="center" wrapText="1"/>
    </xf>
    <xf numFmtId="0" fontId="2" fillId="0" borderId="15" xfId="0" applyFont="1" applyBorder="1" applyAlignment="1">
      <alignment horizontal="center" vertical="center" wrapText="1"/>
    </xf>
    <xf numFmtId="0" fontId="6" fillId="0" borderId="8" xfId="0" applyFont="1" applyBorder="1" applyAlignment="1">
      <alignment horizontal="left" vertical="center" wrapText="1"/>
    </xf>
    <xf numFmtId="3" fontId="2" fillId="0" borderId="8" xfId="1" applyNumberFormat="1" applyFont="1" applyBorder="1" applyAlignment="1">
      <alignment horizontal="center" vertical="center" wrapText="1"/>
    </xf>
    <xf numFmtId="0" fontId="19" fillId="0" borderId="0" xfId="0" applyFont="1" applyAlignment="1">
      <alignment vertical="center"/>
    </xf>
    <xf numFmtId="0" fontId="5" fillId="0" borderId="0" xfId="0" applyFont="1" applyAlignment="1">
      <alignment horizontal="center"/>
    </xf>
    <xf numFmtId="0" fontId="6" fillId="0" borderId="0" xfId="0" applyFont="1" applyAlignment="1">
      <alignment horizontal="center"/>
    </xf>
    <xf numFmtId="0" fontId="4" fillId="0" borderId="0" xfId="0" applyFont="1" applyAlignment="1">
      <alignment horizontal="left" vertical="center"/>
    </xf>
    <xf numFmtId="0" fontId="2" fillId="0" borderId="0" xfId="0" applyFont="1" applyAlignment="1"/>
    <xf numFmtId="0" fontId="6" fillId="0" borderId="0" xfId="0" applyFont="1" applyAlignment="1">
      <alignment horizontal="center" vertical="center"/>
    </xf>
    <xf numFmtId="0" fontId="6" fillId="0" borderId="0" xfId="0" applyFont="1" applyAlignment="1">
      <alignment vertical="center"/>
    </xf>
    <xf numFmtId="3" fontId="18" fillId="0" borderId="13" xfId="1" applyNumberFormat="1" applyFont="1" applyBorder="1" applyAlignment="1">
      <alignment horizontal="right" vertical="center" wrapText="1"/>
    </xf>
    <xf numFmtId="0" fontId="16" fillId="0" borderId="19" xfId="0" applyFont="1" applyBorder="1" applyAlignment="1">
      <alignment vertical="center" wrapText="1"/>
    </xf>
    <xf numFmtId="3" fontId="16" fillId="0" borderId="12" xfId="1" applyNumberFormat="1" applyFont="1" applyBorder="1" applyAlignment="1">
      <alignment horizontal="right" vertical="center" wrapText="1"/>
    </xf>
    <xf numFmtId="0" fontId="2" fillId="0" borderId="8" xfId="0" applyFont="1" applyBorder="1" applyAlignment="1">
      <alignment vertical="center" wrapText="1"/>
    </xf>
    <xf numFmtId="3" fontId="2" fillId="0" borderId="8" xfId="1" applyNumberFormat="1" applyFont="1" applyBorder="1" applyAlignment="1">
      <alignment horizontal="right" vertical="center" wrapText="1"/>
    </xf>
    <xf numFmtId="0" fontId="2" fillId="0" borderId="18" xfId="0" applyFont="1" applyFill="1" applyBorder="1" applyAlignment="1">
      <alignment vertical="center" wrapText="1"/>
    </xf>
    <xf numFmtId="3" fontId="2" fillId="3" borderId="21" xfId="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ilieu/Tam/2018-Quyet%20toan%20Nghi%20dinh%2031%20nam%202017%20-%20Bieu%205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ailieu/Tam/Quyet%20toan%202017/Nghi%20dinh%2031/2018-Quyet%20toan%20Nghi%20dinh%2031%20nam%202017%20-%20Bieu%205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ailieu/Tam/Quyet%20toan%202017/Thong%20tu%20342/2018-Xin-Quyet%20toan%20chi%20bieu%20so%2062%20nam%2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ailieu/Tam/Quyet%20toan%202017/Nghi%20dinh%2031/BieuMau51-ND31,%2032%20(LINH)%2028.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1-ND31"/>
      <sheetName val="Tinh-ĐT"/>
      <sheetName val="TP"/>
      <sheetName val="PhuHoa"/>
      <sheetName val="DongHoa"/>
      <sheetName val="TayHoa"/>
      <sheetName val="TuyAn"/>
      <sheetName val="SongCau"/>
      <sheetName val="DongXuan"/>
      <sheetName val="SonHoa"/>
      <sheetName val="SongHinh"/>
      <sheetName val="Đầutư"/>
      <sheetName val="TX"/>
      <sheetName val="Sheet3"/>
      <sheetName val="Sheet1"/>
    </sheetNames>
    <sheetDataSet>
      <sheetData sheetId="0" refreshError="1">
        <row r="10">
          <cell r="C10">
            <v>1107360</v>
          </cell>
        </row>
      </sheetData>
      <sheetData sheetId="1" refreshError="1">
        <row r="11">
          <cell r="D11">
            <v>961568307719</v>
          </cell>
        </row>
        <row r="41">
          <cell r="D41">
            <v>2042821339552</v>
          </cell>
        </row>
        <row r="42">
          <cell r="D42">
            <v>16093930480</v>
          </cell>
          <cell r="F42">
            <v>0</v>
          </cell>
        </row>
        <row r="60">
          <cell r="E60">
            <v>0</v>
          </cell>
        </row>
        <row r="61">
          <cell r="D61">
            <v>3334500000</v>
          </cell>
          <cell r="E61">
            <v>3334500000</v>
          </cell>
        </row>
        <row r="62">
          <cell r="D62">
            <v>1000000000</v>
          </cell>
          <cell r="E62">
            <v>1000000000</v>
          </cell>
        </row>
        <row r="67">
          <cell r="D67">
            <v>84686071340</v>
          </cell>
        </row>
        <row r="68">
          <cell r="D68">
            <v>87018827312</v>
          </cell>
        </row>
        <row r="69">
          <cell r="D69">
            <v>131882000</v>
          </cell>
        </row>
        <row r="73">
          <cell r="C73">
            <v>86250000000</v>
          </cell>
          <cell r="D73">
            <v>171751391021</v>
          </cell>
        </row>
        <row r="74">
          <cell r="C74">
            <v>3000000000</v>
          </cell>
          <cell r="D74">
            <v>5826916000</v>
          </cell>
        </row>
        <row r="75">
          <cell r="C75">
            <v>6122000000</v>
          </cell>
          <cell r="D75">
            <v>7396222000</v>
          </cell>
        </row>
        <row r="76">
          <cell r="C76">
            <v>4500000000</v>
          </cell>
          <cell r="D76">
            <v>4500000000</v>
          </cell>
        </row>
        <row r="77">
          <cell r="C77">
            <v>13000000000</v>
          </cell>
          <cell r="D77">
            <v>20963654292</v>
          </cell>
        </row>
        <row r="78">
          <cell r="C78">
            <v>240162000000</v>
          </cell>
          <cell r="D78">
            <v>261634688933</v>
          </cell>
        </row>
        <row r="79">
          <cell r="C79">
            <v>500000000</v>
          </cell>
          <cell r="D79">
            <v>1728158802</v>
          </cell>
        </row>
        <row r="80">
          <cell r="C80">
            <v>7000000000</v>
          </cell>
          <cell r="D80">
            <v>7000000000</v>
          </cell>
        </row>
        <row r="81">
          <cell r="C81">
            <v>22716000000</v>
          </cell>
          <cell r="D81">
            <v>24984949620</v>
          </cell>
        </row>
        <row r="82">
          <cell r="C82">
            <v>500000000</v>
          </cell>
          <cell r="D82">
            <v>500000000</v>
          </cell>
        </row>
        <row r="83">
          <cell r="D83">
            <v>208228000</v>
          </cell>
        </row>
        <row r="85">
          <cell r="D85">
            <v>8464743957</v>
          </cell>
        </row>
        <row r="87">
          <cell r="C87">
            <v>96855000000</v>
          </cell>
          <cell r="D87">
            <v>19261601844</v>
          </cell>
        </row>
        <row r="88">
          <cell r="D88">
            <v>87835678469</v>
          </cell>
        </row>
        <row r="89">
          <cell r="D89">
            <v>49199154000</v>
          </cell>
        </row>
        <row r="90">
          <cell r="D90">
            <v>1000000000</v>
          </cell>
        </row>
        <row r="91">
          <cell r="D91">
            <v>3385957000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1">
          <cell r="O11">
            <v>119575000</v>
          </cell>
        </row>
        <row r="13">
          <cell r="I13">
            <v>3104</v>
          </cell>
          <cell r="N13">
            <v>3104000000</v>
          </cell>
        </row>
        <row r="14">
          <cell r="I14">
            <v>2250</v>
          </cell>
          <cell r="N14">
            <v>2318218965</v>
          </cell>
        </row>
        <row r="17">
          <cell r="I17">
            <v>14494.0124</v>
          </cell>
          <cell r="N17">
            <v>10827928300</v>
          </cell>
        </row>
        <row r="23">
          <cell r="I23">
            <v>40000</v>
          </cell>
          <cell r="N23">
            <v>43748350407</v>
          </cell>
        </row>
        <row r="26">
          <cell r="I26">
            <v>1200</v>
          </cell>
          <cell r="N26">
            <v>495000000</v>
          </cell>
        </row>
        <row r="27">
          <cell r="I27">
            <v>1344</v>
          </cell>
          <cell r="N27">
            <v>1789242000</v>
          </cell>
        </row>
        <row r="28">
          <cell r="I28">
            <v>1289</v>
          </cell>
          <cell r="N28">
            <v>2201468095</v>
          </cell>
        </row>
        <row r="32">
          <cell r="I32">
            <v>199.75399999999999</v>
          </cell>
          <cell r="N32">
            <v>199754000</v>
          </cell>
        </row>
        <row r="33">
          <cell r="I33">
            <v>13350</v>
          </cell>
          <cell r="N33">
            <v>13074604000</v>
          </cell>
        </row>
        <row r="34">
          <cell r="I34">
            <v>142735</v>
          </cell>
          <cell r="O34">
            <v>188724577000</v>
          </cell>
        </row>
        <row r="35">
          <cell r="I35">
            <v>1382</v>
          </cell>
          <cell r="N35">
            <v>1382000000</v>
          </cell>
        </row>
        <row r="36">
          <cell r="I36">
            <v>10100.083365</v>
          </cell>
          <cell r="N36">
            <v>10100083365</v>
          </cell>
        </row>
        <row r="37">
          <cell r="I37">
            <v>13200</v>
          </cell>
          <cell r="N37">
            <v>2615641300</v>
          </cell>
        </row>
        <row r="38">
          <cell r="I38">
            <v>20251</v>
          </cell>
          <cell r="N38">
            <v>16109818000</v>
          </cell>
        </row>
        <row r="39">
          <cell r="I39">
            <v>635</v>
          </cell>
          <cell r="N39">
            <v>600000000</v>
          </cell>
        </row>
        <row r="43">
          <cell r="I43">
            <v>1283</v>
          </cell>
          <cell r="N43">
            <v>23300000</v>
          </cell>
        </row>
        <row r="44">
          <cell r="I44">
            <v>12239</v>
          </cell>
          <cell r="N44">
            <v>2835615000</v>
          </cell>
        </row>
        <row r="46">
          <cell r="I46">
            <v>5672</v>
          </cell>
          <cell r="N46">
            <v>143806000</v>
          </cell>
        </row>
        <row r="47">
          <cell r="I47">
            <v>300</v>
          </cell>
        </row>
        <row r="48">
          <cell r="I48">
            <v>1317</v>
          </cell>
        </row>
        <row r="70">
          <cell r="N70">
            <v>560000000</v>
          </cell>
        </row>
        <row r="71">
          <cell r="N71">
            <v>6605662800</v>
          </cell>
        </row>
        <row r="72">
          <cell r="N72">
            <v>15154967000</v>
          </cell>
        </row>
        <row r="74">
          <cell r="N74">
            <v>194000000</v>
          </cell>
        </row>
        <row r="82">
          <cell r="N82">
            <v>1876656000</v>
          </cell>
        </row>
        <row r="87">
          <cell r="N87">
            <v>495000000</v>
          </cell>
        </row>
      </sheetData>
      <sheetData sheetId="13" refreshError="1">
        <row r="9">
          <cell r="C9">
            <v>730000000</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1-ND31"/>
      <sheetName val="Tinh-ĐT"/>
      <sheetName val="TP"/>
      <sheetName val="PhuHoa"/>
      <sheetName val="DongHoa"/>
      <sheetName val="TayHoa"/>
      <sheetName val="TuyAn"/>
      <sheetName val="SongCau"/>
      <sheetName val="DongXuan"/>
      <sheetName val="SonHoa"/>
      <sheetName val="SongHinh"/>
      <sheetName val="Đầutư"/>
      <sheetName val="TX"/>
      <sheetName val="Sheet3"/>
      <sheetName val="Sheet1"/>
    </sheetNames>
    <sheetDataSet>
      <sheetData sheetId="0">
        <row r="33">
          <cell r="C33">
            <v>178236</v>
          </cell>
        </row>
        <row r="34">
          <cell r="C34">
            <v>82036</v>
          </cell>
        </row>
        <row r="55">
          <cell r="C55">
            <v>500</v>
          </cell>
        </row>
        <row r="56">
          <cell r="C56"/>
        </row>
        <row r="57">
          <cell r="C57">
            <v>96855</v>
          </cell>
        </row>
        <row r="59">
          <cell r="C59">
            <v>289210.83418000001</v>
          </cell>
        </row>
        <row r="60">
          <cell r="C60">
            <v>218210.83418000001</v>
          </cell>
        </row>
      </sheetData>
      <sheetData sheetId="1">
        <row r="11">
          <cell r="D11">
            <v>911568279169</v>
          </cell>
          <cell r="E11">
            <v>401072017677</v>
          </cell>
          <cell r="F11">
            <v>510496261492</v>
          </cell>
        </row>
        <row r="20">
          <cell r="D20">
            <v>123277790139</v>
          </cell>
          <cell r="E20">
            <v>38535934987</v>
          </cell>
          <cell r="F20">
            <v>84741855152</v>
          </cell>
        </row>
        <row r="21">
          <cell r="D21">
            <v>9698160429</v>
          </cell>
          <cell r="E21">
            <v>8018568988</v>
          </cell>
          <cell r="F21">
            <v>1679591441</v>
          </cell>
        </row>
        <row r="31">
          <cell r="D31">
            <v>10000000000</v>
          </cell>
          <cell r="E31">
            <v>10000000000</v>
          </cell>
          <cell r="F31">
            <v>0</v>
          </cell>
        </row>
        <row r="32">
          <cell r="D32">
            <v>50000000000</v>
          </cell>
          <cell r="E32">
            <v>50000000000</v>
          </cell>
        </row>
        <row r="33">
          <cell r="D33">
            <v>3454534423</v>
          </cell>
          <cell r="E33">
            <v>3428080923</v>
          </cell>
          <cell r="F33">
            <v>26453500</v>
          </cell>
        </row>
        <row r="34">
          <cell r="D34">
            <v>19266134127</v>
          </cell>
          <cell r="F34">
            <v>19266134127</v>
          </cell>
        </row>
        <row r="36">
          <cell r="D36">
            <v>4862860935516</v>
          </cell>
          <cell r="E36">
            <v>1627515378772</v>
          </cell>
          <cell r="F36">
            <v>3235345556744</v>
          </cell>
        </row>
        <row r="42">
          <cell r="E42">
            <v>408899011357</v>
          </cell>
          <cell r="F42">
            <v>1633922328195</v>
          </cell>
        </row>
        <row r="43">
          <cell r="E43">
            <v>16093930480</v>
          </cell>
        </row>
        <row r="61">
          <cell r="D61">
            <v>29510438037</v>
          </cell>
          <cell r="F61">
            <v>29510438037</v>
          </cell>
        </row>
        <row r="93">
          <cell r="D93">
            <v>35239675363</v>
          </cell>
        </row>
        <row r="125">
          <cell r="D125">
            <v>2158374732840</v>
          </cell>
        </row>
      </sheetData>
      <sheetData sheetId="2"/>
      <sheetData sheetId="3"/>
      <sheetData sheetId="4"/>
      <sheetData sheetId="5"/>
      <sheetData sheetId="6"/>
      <sheetData sheetId="7"/>
      <sheetData sheetId="8"/>
      <sheetData sheetId="9"/>
      <sheetData sheetId="10"/>
      <sheetData sheetId="11"/>
      <sheetData sheetId="12">
        <row r="11">
          <cell r="O11">
            <v>119575000</v>
          </cell>
        </row>
      </sheetData>
      <sheetData sheetId="13">
        <row r="9">
          <cell r="C9">
            <v>730000000</v>
          </cell>
        </row>
      </sheetData>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P"/>
      <sheetName val="PHoa"/>
      <sheetName val="DHoa"/>
      <sheetName val="THoa"/>
      <sheetName val="TAn"/>
      <sheetName val="SCau"/>
      <sheetName val="ĐXuan"/>
      <sheetName val="SHoa"/>
      <sheetName val="SHinh"/>
      <sheetName val="TINH"/>
      <sheetName val="ToanTinh"/>
      <sheetName val="BIEU62"/>
      <sheetName val="Sheet1"/>
      <sheetName val="TMCTMTQG"/>
      <sheetName val="TMĐT"/>
      <sheetName val="Bieu 62 ĐC"/>
      <sheetName val="BTC-Bieu 62 ĐC"/>
    </sheetNames>
    <sheetDataSet>
      <sheetData sheetId="0">
        <row r="9">
          <cell r="E9">
            <v>219119662268</v>
          </cell>
        </row>
      </sheetData>
      <sheetData sheetId="1">
        <row r="9">
          <cell r="E9">
            <v>49088702801</v>
          </cell>
        </row>
      </sheetData>
      <sheetData sheetId="2">
        <row r="9">
          <cell r="E9">
            <v>90255669927</v>
          </cell>
        </row>
      </sheetData>
      <sheetData sheetId="3">
        <row r="9">
          <cell r="E9">
            <v>55223073880</v>
          </cell>
        </row>
      </sheetData>
      <sheetData sheetId="4">
        <row r="9">
          <cell r="E9">
            <v>57520186642</v>
          </cell>
        </row>
      </sheetData>
      <sheetData sheetId="5">
        <row r="9">
          <cell r="E9">
            <v>89924997595</v>
          </cell>
        </row>
      </sheetData>
      <sheetData sheetId="6">
        <row r="9">
          <cell r="E9">
            <v>79781963344</v>
          </cell>
        </row>
      </sheetData>
      <sheetData sheetId="7">
        <row r="9">
          <cell r="E9">
            <v>43369587395</v>
          </cell>
        </row>
      </sheetData>
      <sheetData sheetId="8">
        <row r="9">
          <cell r="E9">
            <v>63732292919</v>
          </cell>
        </row>
      </sheetData>
      <sheetData sheetId="9">
        <row r="11">
          <cell r="E11">
            <v>46757721000</v>
          </cell>
        </row>
      </sheetData>
      <sheetData sheetId="10"/>
      <sheetData sheetId="11">
        <row r="29">
          <cell r="D29">
            <v>5039288</v>
          </cell>
        </row>
        <row r="55">
          <cell r="D55">
            <v>110190</v>
          </cell>
        </row>
        <row r="56">
          <cell r="D56">
            <v>1000</v>
          </cell>
        </row>
        <row r="58">
          <cell r="D58">
            <v>216800</v>
          </cell>
        </row>
      </sheetData>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1-ND31"/>
      <sheetName val="Sheet1"/>
      <sheetName val="PhuHoa"/>
      <sheetName val="Sheet2"/>
      <sheetName val="Sheet3"/>
      <sheetName val="TuyAn"/>
    </sheetNames>
    <sheetDataSet>
      <sheetData sheetId="0" refreshError="1">
        <row r="39">
          <cell r="D39">
            <v>85750000000</v>
          </cell>
          <cell r="E39">
            <v>500000000</v>
          </cell>
          <cell r="G39">
            <v>171251391021</v>
          </cell>
          <cell r="H39">
            <v>500000000</v>
          </cell>
        </row>
        <row r="40">
          <cell r="D40">
            <v>3000000000</v>
          </cell>
          <cell r="G40">
            <v>5826916000</v>
          </cell>
        </row>
        <row r="41">
          <cell r="D41">
            <v>6122000000</v>
          </cell>
          <cell r="G41">
            <v>6252222000</v>
          </cell>
          <cell r="H41">
            <v>1144000000</v>
          </cell>
        </row>
        <row r="42">
          <cell r="D42">
            <v>4500000000</v>
          </cell>
          <cell r="G42">
            <v>4500000000</v>
          </cell>
        </row>
        <row r="43">
          <cell r="D43">
            <v>10000000000</v>
          </cell>
          <cell r="E43">
            <v>3000000000</v>
          </cell>
          <cell r="G43">
            <v>16714250292</v>
          </cell>
          <cell r="H43">
            <v>4249404000</v>
          </cell>
        </row>
        <row r="44">
          <cell r="D44">
            <v>195191000000</v>
          </cell>
          <cell r="E44">
            <v>44971000000</v>
          </cell>
          <cell r="G44">
            <v>215135129298</v>
          </cell>
          <cell r="H44">
            <v>46499559635</v>
          </cell>
        </row>
        <row r="45">
          <cell r="D45">
            <v>500000000</v>
          </cell>
          <cell r="G45">
            <v>1728158802</v>
          </cell>
        </row>
        <row r="46">
          <cell r="D46">
            <v>7000000000</v>
          </cell>
          <cell r="G46">
            <v>7000000000</v>
          </cell>
        </row>
        <row r="47">
          <cell r="D47">
            <v>5717000000</v>
          </cell>
          <cell r="E47">
            <v>16999000000</v>
          </cell>
          <cell r="G47">
            <v>11773758064</v>
          </cell>
          <cell r="H47">
            <v>13211191556</v>
          </cell>
        </row>
        <row r="48">
          <cell r="D48">
            <v>500000000</v>
          </cell>
          <cell r="G48">
            <v>500000000</v>
          </cell>
        </row>
        <row r="49">
          <cell r="G49">
            <v>208228000</v>
          </cell>
        </row>
        <row r="50">
          <cell r="D50">
            <v>96855000000</v>
          </cell>
        </row>
        <row r="51">
          <cell r="G51">
            <v>19261601844</v>
          </cell>
        </row>
        <row r="56">
          <cell r="G56">
            <v>75789785469</v>
          </cell>
          <cell r="H56">
            <v>12045893000</v>
          </cell>
        </row>
        <row r="57">
          <cell r="G57">
            <v>49199154000</v>
          </cell>
        </row>
        <row r="58">
          <cell r="H58">
            <v>1000000000</v>
          </cell>
        </row>
        <row r="59">
          <cell r="H59">
            <v>3385957000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tabSelected="1" topLeftCell="A2" workbookViewId="0">
      <selection activeCell="B83" sqref="B83"/>
    </sheetView>
  </sheetViews>
  <sheetFormatPr defaultColWidth="9" defaultRowHeight="15.6" x14ac:dyDescent="0.3"/>
  <cols>
    <col min="1" max="1" width="4" style="3" customWidth="1"/>
    <col min="2" max="2" width="59.69921875" style="3" customWidth="1"/>
    <col min="3" max="3" width="9.09765625" style="12" customWidth="1"/>
    <col min="4" max="4" width="9.69921875" style="12" customWidth="1"/>
    <col min="5" max="5" width="9" style="12" customWidth="1"/>
    <col min="6" max="6" width="9.59765625" style="3" customWidth="1"/>
    <col min="7" max="7" width="9.69921875" style="3" customWidth="1"/>
    <col min="8" max="8" width="9.19921875" style="3" customWidth="1"/>
    <col min="9" max="10" width="10" style="3" customWidth="1"/>
    <col min="11" max="11" width="9.59765625" style="3" customWidth="1"/>
    <col min="12" max="12" width="22.19921875" style="3" hidden="1" customWidth="1"/>
    <col min="13" max="16384" width="9" style="3"/>
  </cols>
  <sheetData>
    <row r="1" spans="1:26" hidden="1" x14ac:dyDescent="0.3">
      <c r="A1" s="1" t="s">
        <v>0</v>
      </c>
      <c r="B1" s="1"/>
      <c r="C1" s="1"/>
      <c r="D1" s="1"/>
      <c r="E1" s="1"/>
      <c r="F1" s="1"/>
      <c r="G1" s="1"/>
      <c r="H1" s="1"/>
      <c r="I1" s="2"/>
      <c r="J1" s="2"/>
      <c r="K1" s="2"/>
    </row>
    <row r="2" spans="1:26" ht="17.399999999999999" x14ac:dyDescent="0.3">
      <c r="A2" s="142" t="s">
        <v>128</v>
      </c>
      <c r="B2" s="142"/>
      <c r="C2" s="143"/>
      <c r="D2" s="143"/>
      <c r="E2" s="143"/>
      <c r="F2" s="143"/>
      <c r="G2" s="143"/>
      <c r="H2" s="143"/>
      <c r="I2" s="143"/>
      <c r="J2" s="144" t="s">
        <v>129</v>
      </c>
      <c r="K2" s="144"/>
      <c r="M2" s="145"/>
      <c r="N2" s="145"/>
      <c r="O2" s="145"/>
      <c r="P2" s="145"/>
    </row>
    <row r="3" spans="1:26" ht="17.399999999999999" x14ac:dyDescent="0.3">
      <c r="A3" s="4"/>
      <c r="C3" s="5"/>
      <c r="D3" s="5"/>
      <c r="E3" s="5"/>
      <c r="F3" s="5"/>
      <c r="G3" s="6"/>
      <c r="H3" s="6"/>
      <c r="I3" s="6"/>
      <c r="J3" s="6"/>
      <c r="K3" s="6"/>
    </row>
    <row r="4" spans="1:26" ht="19.8" customHeight="1" x14ac:dyDescent="0.3">
      <c r="A4" s="7" t="s">
        <v>1</v>
      </c>
      <c r="B4" s="7"/>
      <c r="C4" s="7"/>
      <c r="D4" s="7"/>
      <c r="E4" s="7"/>
      <c r="F4" s="7"/>
      <c r="G4" s="7"/>
      <c r="H4" s="7"/>
      <c r="I4" s="7"/>
      <c r="J4" s="7"/>
      <c r="K4" s="7"/>
      <c r="L4" s="8"/>
    </row>
    <row r="5" spans="1:26" ht="19.2" customHeight="1" x14ac:dyDescent="0.3">
      <c r="A5" s="7" t="s">
        <v>2</v>
      </c>
      <c r="B5" s="7"/>
      <c r="C5" s="7"/>
      <c r="D5" s="7"/>
      <c r="E5" s="7"/>
      <c r="F5" s="7"/>
      <c r="G5" s="7"/>
      <c r="H5" s="7"/>
      <c r="I5" s="7"/>
      <c r="J5" s="7"/>
      <c r="K5" s="7"/>
      <c r="L5" s="9"/>
    </row>
    <row r="6" spans="1:26" ht="19.2" hidden="1" customHeight="1" x14ac:dyDescent="0.3">
      <c r="A6" s="1" t="s">
        <v>3</v>
      </c>
      <c r="B6" s="1"/>
      <c r="C6" s="1"/>
      <c r="D6" s="1"/>
      <c r="E6" s="1"/>
      <c r="F6" s="1"/>
      <c r="G6" s="1"/>
      <c r="H6" s="1"/>
      <c r="I6" s="1"/>
      <c r="J6" s="1"/>
      <c r="K6" s="1"/>
      <c r="L6" s="9"/>
    </row>
    <row r="7" spans="1:26" ht="13.2" customHeight="1" x14ac:dyDescent="0.3">
      <c r="A7" s="10"/>
      <c r="B7" s="10"/>
      <c r="C7" s="10"/>
      <c r="D7" s="10"/>
      <c r="E7" s="10"/>
      <c r="F7" s="10"/>
      <c r="G7" s="10"/>
      <c r="H7" s="10"/>
      <c r="I7" s="10"/>
      <c r="J7" s="10"/>
      <c r="K7" s="10"/>
      <c r="L7" s="9"/>
    </row>
    <row r="8" spans="1:26" x14ac:dyDescent="0.3">
      <c r="A8" s="11"/>
      <c r="J8" s="13" t="s">
        <v>4</v>
      </c>
      <c r="K8" s="13"/>
    </row>
    <row r="9" spans="1:26" s="21" customFormat="1" ht="15.6" customHeight="1" x14ac:dyDescent="0.3">
      <c r="A9" s="14"/>
      <c r="B9" s="14" t="s">
        <v>5</v>
      </c>
      <c r="C9" s="15" t="s">
        <v>6</v>
      </c>
      <c r="D9" s="16" t="s">
        <v>7</v>
      </c>
      <c r="E9" s="17"/>
      <c r="F9" s="18" t="s">
        <v>8</v>
      </c>
      <c r="G9" s="16" t="s">
        <v>7</v>
      </c>
      <c r="H9" s="17"/>
      <c r="I9" s="16" t="s">
        <v>9</v>
      </c>
      <c r="J9" s="19"/>
      <c r="K9" s="17"/>
      <c r="L9" s="20" t="s">
        <v>10</v>
      </c>
    </row>
    <row r="10" spans="1:26" s="21" customFormat="1" ht="31.2" x14ac:dyDescent="0.3">
      <c r="A10" s="22"/>
      <c r="B10" s="22"/>
      <c r="C10" s="23"/>
      <c r="D10" s="24" t="s">
        <v>11</v>
      </c>
      <c r="E10" s="24" t="s">
        <v>12</v>
      </c>
      <c r="F10" s="25"/>
      <c r="G10" s="24" t="s">
        <v>11</v>
      </c>
      <c r="H10" s="24" t="s">
        <v>12</v>
      </c>
      <c r="I10" s="24" t="s">
        <v>13</v>
      </c>
      <c r="J10" s="24" t="s">
        <v>11</v>
      </c>
      <c r="K10" s="24" t="s">
        <v>12</v>
      </c>
      <c r="L10" s="26"/>
    </row>
    <row r="11" spans="1:26" s="30" customFormat="1" ht="14.4" customHeight="1" x14ac:dyDescent="0.3">
      <c r="A11" s="27" t="s">
        <v>14</v>
      </c>
      <c r="B11" s="27" t="s">
        <v>15</v>
      </c>
      <c r="C11" s="27">
        <v>1</v>
      </c>
      <c r="D11" s="27">
        <v>2</v>
      </c>
      <c r="E11" s="27">
        <v>3</v>
      </c>
      <c r="F11" s="27" t="s">
        <v>16</v>
      </c>
      <c r="G11" s="27">
        <v>5</v>
      </c>
      <c r="H11" s="27">
        <v>6</v>
      </c>
      <c r="I11" s="28" t="s">
        <v>17</v>
      </c>
      <c r="J11" s="28" t="s">
        <v>18</v>
      </c>
      <c r="K11" s="28" t="s">
        <v>19</v>
      </c>
      <c r="L11" s="29"/>
    </row>
    <row r="12" spans="1:26" s="30" customFormat="1" ht="21" customHeight="1" x14ac:dyDescent="0.3">
      <c r="A12" s="31"/>
      <c r="B12" s="32" t="s">
        <v>20</v>
      </c>
      <c r="C12" s="33">
        <f>C13+C36+C100</f>
        <v>7093800</v>
      </c>
      <c r="D12" s="33">
        <f>D13+D36+D100</f>
        <v>3229063</v>
      </c>
      <c r="E12" s="33">
        <f>E13+E36+E100</f>
        <v>3864869</v>
      </c>
      <c r="F12" s="33">
        <f>F13+F36+F100+F101+1</f>
        <v>9286594.2328399997</v>
      </c>
      <c r="G12" s="33">
        <f>G13+G36+G100+G101</f>
        <v>4593700.5</v>
      </c>
      <c r="H12" s="33">
        <f t="shared" ref="H12" si="0">H13+H36+H100+H101</f>
        <v>4692893</v>
      </c>
      <c r="I12" s="34">
        <f>F12/C12*100</f>
        <v>130.91141888465984</v>
      </c>
      <c r="J12" s="34">
        <f t="shared" ref="J12:K15" si="1">G12/D12*100</f>
        <v>142.26109865307677</v>
      </c>
      <c r="K12" s="34">
        <f t="shared" si="1"/>
        <v>121.42437428021493</v>
      </c>
      <c r="L12" s="35"/>
      <c r="N12" s="36"/>
      <c r="O12" s="36"/>
      <c r="P12" s="36"/>
      <c r="Q12" s="36"/>
      <c r="R12" s="37"/>
      <c r="S12" s="38"/>
      <c r="T12" s="38"/>
      <c r="U12" s="38"/>
    </row>
    <row r="13" spans="1:26" ht="18.600000000000001" customHeight="1" x14ac:dyDescent="0.3">
      <c r="A13" s="39" t="s">
        <v>14</v>
      </c>
      <c r="B13" s="40" t="s">
        <v>21</v>
      </c>
      <c r="C13" s="41">
        <f>SUM(C14,C27,C32,C33,C34,C35)</f>
        <v>6434229</v>
      </c>
      <c r="D13" s="41">
        <f t="shared" ref="D13:E13" si="2">SUM(D14,D27,D32,D33,D34,D35)</f>
        <v>2801049</v>
      </c>
      <c r="E13" s="41">
        <f t="shared" si="2"/>
        <v>3633180</v>
      </c>
      <c r="F13" s="41">
        <f>SUM(F14,F27,F32,F33,F34,F35)</f>
        <v>5858029.5</v>
      </c>
      <c r="G13" s="41">
        <f t="shared" ref="G13" si="3">SUM(G14,G27,G32,G33,G34,G35)</f>
        <v>2092921.5</v>
      </c>
      <c r="H13" s="41">
        <f>ROUND(SUM(H14,H27,H32,H33,H34,H35),0)</f>
        <v>3765108</v>
      </c>
      <c r="I13" s="42">
        <f t="shared" ref="I13:I15" si="4">F13/C13*100</f>
        <v>91.044777859165421</v>
      </c>
      <c r="J13" s="42">
        <f t="shared" si="1"/>
        <v>74.719203412721441</v>
      </c>
      <c r="K13" s="42">
        <f t="shared" si="1"/>
        <v>103.63119911482504</v>
      </c>
      <c r="L13" s="43"/>
      <c r="N13" s="36"/>
      <c r="O13" s="36"/>
      <c r="P13" s="36"/>
      <c r="Q13" s="36"/>
      <c r="T13" s="38"/>
      <c r="U13" s="38"/>
    </row>
    <row r="14" spans="1:26" x14ac:dyDescent="0.3">
      <c r="A14" s="44" t="s">
        <v>22</v>
      </c>
      <c r="B14" s="45" t="s">
        <v>23</v>
      </c>
      <c r="C14" s="41">
        <f>SUM('[1]Bieu 51-ND31'!$C$10)</f>
        <v>1107360</v>
      </c>
      <c r="D14" s="41">
        <f>C14-E14</f>
        <v>625549</v>
      </c>
      <c r="E14" s="41">
        <f>426761+55050</f>
        <v>481811</v>
      </c>
      <c r="F14" s="46">
        <f>ROUND(SUM(F15,F22,F23,F24,F26),0)</f>
        <v>990834</v>
      </c>
      <c r="G14" s="46">
        <f>ROUND(SUM(G15,G22,G23,G24,G26),0)</f>
        <v>461072</v>
      </c>
      <c r="H14" s="46">
        <f>ROUND(SUM(H15,H22,H23,H24,H26),0)</f>
        <v>529762</v>
      </c>
      <c r="I14" s="47">
        <f t="shared" si="4"/>
        <v>89.477134807108811</v>
      </c>
      <c r="J14" s="47">
        <f t="shared" si="1"/>
        <v>73.706775967989714</v>
      </c>
      <c r="K14" s="47">
        <f t="shared" si="1"/>
        <v>109.9522426843721</v>
      </c>
      <c r="L14" s="48"/>
      <c r="N14" s="36"/>
      <c r="O14" s="36"/>
      <c r="P14" s="36"/>
      <c r="Q14" s="36"/>
      <c r="T14" s="38"/>
      <c r="U14" s="49"/>
      <c r="V14" s="38"/>
      <c r="W14" s="38"/>
      <c r="X14" s="50"/>
    </row>
    <row r="15" spans="1:26" x14ac:dyDescent="0.3">
      <c r="A15" s="51">
        <v>1</v>
      </c>
      <c r="B15" s="52" t="s">
        <v>24</v>
      </c>
      <c r="C15" s="53">
        <f>396310+459300+85000</f>
        <v>940610</v>
      </c>
      <c r="D15" s="53">
        <f>625549-59700-50000</f>
        <v>515849</v>
      </c>
      <c r="E15" s="53">
        <f>481811-55050-2000</f>
        <v>424761</v>
      </c>
      <c r="F15" s="54">
        <f>SUM('[2]Tinh-ĐT'!$D$11)/1000000</f>
        <v>911568.27916899999</v>
      </c>
      <c r="G15" s="55">
        <f>SUM('[2]Tinh-ĐT'!$E$11)/1000000</f>
        <v>401072.01767700003</v>
      </c>
      <c r="H15" s="55">
        <f>SUM('[2]Tinh-ĐT'!$F$11)/1000000</f>
        <v>510496.26149200002</v>
      </c>
      <c r="I15" s="56">
        <f t="shared" si="4"/>
        <v>96.912458847875314</v>
      </c>
      <c r="J15" s="56">
        <f t="shared" si="1"/>
        <v>77.749887598308803</v>
      </c>
      <c r="K15" s="56">
        <f t="shared" si="1"/>
        <v>120.18435343451965</v>
      </c>
      <c r="L15" s="48"/>
      <c r="N15" s="36"/>
      <c r="O15" s="36"/>
      <c r="P15" s="36"/>
      <c r="Q15" s="36"/>
      <c r="T15" s="57"/>
      <c r="V15" s="38"/>
      <c r="W15" s="38"/>
      <c r="X15" s="38"/>
      <c r="Y15" s="38"/>
      <c r="Z15" s="57"/>
    </row>
    <row r="16" spans="1:26" x14ac:dyDescent="0.3">
      <c r="A16" s="51"/>
      <c r="B16" s="58" t="s">
        <v>25</v>
      </c>
      <c r="C16" s="59"/>
      <c r="D16" s="59"/>
      <c r="E16" s="59"/>
      <c r="F16" s="60"/>
      <c r="G16" s="60"/>
      <c r="H16" s="60"/>
      <c r="I16" s="51"/>
      <c r="J16" s="51"/>
      <c r="K16" s="51"/>
      <c r="L16" s="48"/>
      <c r="N16" s="36"/>
      <c r="O16" s="36"/>
      <c r="P16" s="36"/>
      <c r="Q16" s="36"/>
      <c r="T16" s="38"/>
      <c r="V16" s="61"/>
      <c r="W16" s="38"/>
    </row>
    <row r="17" spans="1:24" x14ac:dyDescent="0.3">
      <c r="A17" s="51"/>
      <c r="B17" s="62" t="s">
        <v>26</v>
      </c>
      <c r="C17" s="59"/>
      <c r="D17" s="59"/>
      <c r="E17" s="59"/>
      <c r="F17" s="54">
        <f>SUM('[2]Tinh-ĐT'!$D$20)/1000000</f>
        <v>123277.790139</v>
      </c>
      <c r="G17" s="54">
        <f>SUM('[2]Tinh-ĐT'!$E$20)/1000000</f>
        <v>38535.934987000001</v>
      </c>
      <c r="H17" s="54">
        <f>SUM('[2]Tinh-ĐT'!$F$20)/1000000</f>
        <v>84741.855152000004</v>
      </c>
      <c r="I17" s="51"/>
      <c r="J17" s="51"/>
      <c r="K17" s="51"/>
      <c r="L17" s="48"/>
      <c r="N17" s="36"/>
      <c r="O17" s="36"/>
      <c r="P17" s="36"/>
      <c r="Q17" s="36"/>
      <c r="R17" s="38"/>
      <c r="T17" s="38"/>
    </row>
    <row r="18" spans="1:24" x14ac:dyDescent="0.3">
      <c r="A18" s="51"/>
      <c r="B18" s="62" t="s">
        <v>27</v>
      </c>
      <c r="C18" s="59"/>
      <c r="D18" s="59"/>
      <c r="E18" s="59"/>
      <c r="F18" s="54">
        <f>SUM('[2]Tinh-ĐT'!$D$21)/1000000</f>
        <v>9698.1604289999996</v>
      </c>
      <c r="G18" s="54">
        <f>SUM('[2]Tinh-ĐT'!$E$21)/1000000</f>
        <v>8018.568988</v>
      </c>
      <c r="H18" s="54">
        <f>SUM('[2]Tinh-ĐT'!$F$21)/1000000</f>
        <v>1679.591441</v>
      </c>
      <c r="I18" s="51"/>
      <c r="J18" s="51"/>
      <c r="K18" s="51"/>
      <c r="L18" s="48"/>
      <c r="N18" s="36"/>
      <c r="O18" s="36"/>
      <c r="P18" s="36"/>
      <c r="Q18" s="36"/>
      <c r="S18" s="38"/>
      <c r="T18" s="61"/>
      <c r="V18" s="63"/>
    </row>
    <row r="19" spans="1:24" x14ac:dyDescent="0.3">
      <c r="A19" s="51"/>
      <c r="B19" s="58" t="s">
        <v>28</v>
      </c>
      <c r="C19" s="59"/>
      <c r="D19" s="59"/>
      <c r="E19" s="59"/>
      <c r="F19" s="60"/>
      <c r="G19" s="60"/>
      <c r="H19" s="60"/>
      <c r="I19" s="51"/>
      <c r="J19" s="51"/>
      <c r="K19" s="51"/>
      <c r="L19" s="48"/>
      <c r="N19" s="36"/>
      <c r="O19" s="36"/>
      <c r="P19" s="36"/>
      <c r="Q19" s="36"/>
      <c r="S19" s="38"/>
      <c r="T19" s="38"/>
      <c r="U19" s="38"/>
    </row>
    <row r="20" spans="1:24" x14ac:dyDescent="0.3">
      <c r="A20" s="51"/>
      <c r="B20" s="62" t="s">
        <v>29</v>
      </c>
      <c r="C20" s="53">
        <v>459300</v>
      </c>
      <c r="D20" s="53">
        <f>C20-E20</f>
        <v>234000</v>
      </c>
      <c r="E20" s="53">
        <v>225300</v>
      </c>
      <c r="F20" s="60"/>
      <c r="G20" s="60"/>
      <c r="H20" s="60"/>
      <c r="I20" s="51"/>
      <c r="J20" s="51"/>
      <c r="K20" s="51"/>
      <c r="L20" s="48"/>
      <c r="N20" s="36"/>
      <c r="O20" s="36"/>
      <c r="P20" s="36"/>
      <c r="Q20" s="36"/>
      <c r="S20" s="38"/>
      <c r="T20" s="38"/>
      <c r="U20" s="38"/>
    </row>
    <row r="21" spans="1:24" x14ac:dyDescent="0.3">
      <c r="A21" s="51"/>
      <c r="B21" s="62" t="s">
        <v>30</v>
      </c>
      <c r="C21" s="53">
        <v>85000</v>
      </c>
      <c r="D21" s="53">
        <v>85000</v>
      </c>
      <c r="E21" s="53"/>
      <c r="F21" s="60"/>
      <c r="G21" s="60"/>
      <c r="H21" s="60"/>
      <c r="I21" s="51"/>
      <c r="J21" s="51"/>
      <c r="K21" s="51"/>
      <c r="L21" s="48"/>
      <c r="N21" s="36"/>
      <c r="O21" s="36"/>
      <c r="P21" s="36"/>
      <c r="Q21" s="36"/>
      <c r="S21" s="38"/>
      <c r="T21" s="50"/>
      <c r="U21" s="38"/>
      <c r="V21" s="38"/>
      <c r="W21" s="49"/>
      <c r="X21" s="49"/>
    </row>
    <row r="22" spans="1:24" ht="46.8" x14ac:dyDescent="0.3">
      <c r="A22" s="51">
        <v>2</v>
      </c>
      <c r="B22" s="52" t="s">
        <v>31</v>
      </c>
      <c r="C22" s="53">
        <v>2000</v>
      </c>
      <c r="D22" s="53"/>
      <c r="E22" s="53">
        <v>2000</v>
      </c>
      <c r="F22" s="54">
        <f>SUM('[2]Tinh-ĐT'!$D$31)/1000000</f>
        <v>10000</v>
      </c>
      <c r="G22" s="55">
        <f>SUM('[2]Tinh-ĐT'!$E$31)/1000000</f>
        <v>10000</v>
      </c>
      <c r="H22" s="55">
        <f>SUM('[2]Tinh-ĐT'!$F$31)/1000000</f>
        <v>0</v>
      </c>
      <c r="I22" s="64">
        <f t="shared" ref="I22:K37" si="5">F22/C22*100</f>
        <v>500</v>
      </c>
      <c r="J22" s="64"/>
      <c r="K22" s="64"/>
      <c r="L22" s="48"/>
      <c r="N22" s="36"/>
      <c r="O22" s="36"/>
      <c r="P22" s="36"/>
      <c r="Q22" s="36"/>
      <c r="S22" s="38"/>
      <c r="U22" s="38"/>
    </row>
    <row r="23" spans="1:24" x14ac:dyDescent="0.3">
      <c r="A23" s="51">
        <v>3</v>
      </c>
      <c r="B23" s="52" t="s">
        <v>32</v>
      </c>
      <c r="C23" s="53">
        <v>50000</v>
      </c>
      <c r="D23" s="53">
        <v>50000</v>
      </c>
      <c r="E23" s="53"/>
      <c r="F23" s="54">
        <f>SUM('[2]Tinh-ĐT'!$D$32)/1000000</f>
        <v>50000</v>
      </c>
      <c r="G23" s="55">
        <f>SUM('[2]Tinh-ĐT'!$E$32)/1000000</f>
        <v>50000</v>
      </c>
      <c r="H23" s="65"/>
      <c r="I23" s="56"/>
      <c r="J23" s="56"/>
      <c r="K23" s="56"/>
      <c r="L23" s="48"/>
      <c r="N23" s="36"/>
      <c r="O23" s="36"/>
      <c r="P23" s="36"/>
      <c r="Q23" s="36"/>
      <c r="R23" s="37"/>
      <c r="S23" s="38"/>
      <c r="T23" s="38"/>
      <c r="U23" s="38"/>
    </row>
    <row r="24" spans="1:24" x14ac:dyDescent="0.3">
      <c r="A24" s="51">
        <v>4</v>
      </c>
      <c r="B24" s="52" t="s">
        <v>33</v>
      </c>
      <c r="C24" s="53">
        <v>59700</v>
      </c>
      <c r="D24" s="53">
        <v>59700</v>
      </c>
      <c r="E24" s="53"/>
      <c r="F24" s="60"/>
      <c r="G24" s="65"/>
      <c r="H24" s="65"/>
      <c r="I24" s="56"/>
      <c r="J24" s="56"/>
      <c r="K24" s="56"/>
      <c r="L24" s="48"/>
      <c r="N24" s="36"/>
      <c r="O24" s="36"/>
      <c r="P24" s="36"/>
      <c r="Q24" s="36"/>
      <c r="S24" s="38"/>
      <c r="T24" s="38"/>
      <c r="U24" s="38"/>
    </row>
    <row r="25" spans="1:24" x14ac:dyDescent="0.3">
      <c r="A25" s="51">
        <v>5</v>
      </c>
      <c r="B25" s="52" t="s">
        <v>34</v>
      </c>
      <c r="C25" s="53"/>
      <c r="D25" s="53"/>
      <c r="E25" s="53"/>
      <c r="F25" s="54">
        <f>SUM('[2]Tinh-ĐT'!$D$33)/1000000</f>
        <v>3454.5344230000001</v>
      </c>
      <c r="G25" s="54">
        <f>SUM('[2]Tinh-ĐT'!$E$33)/1000000</f>
        <v>3428.080923</v>
      </c>
      <c r="H25" s="54">
        <f>SUM('[2]Tinh-ĐT'!$F$33)/1000000</f>
        <v>26.453499999999998</v>
      </c>
      <c r="I25" s="56"/>
      <c r="J25" s="56"/>
      <c r="K25" s="56"/>
      <c r="L25" s="48"/>
      <c r="N25" s="36"/>
      <c r="O25" s="36"/>
      <c r="P25" s="36"/>
      <c r="Q25" s="36"/>
    </row>
    <row r="26" spans="1:24" x14ac:dyDescent="0.3">
      <c r="A26" s="51">
        <v>5</v>
      </c>
      <c r="B26" s="52" t="s">
        <v>35</v>
      </c>
      <c r="C26" s="53">
        <v>55050</v>
      </c>
      <c r="D26" s="53"/>
      <c r="E26" s="53">
        <f>C26</f>
        <v>55050</v>
      </c>
      <c r="F26" s="54">
        <f>SUM('[2]Tinh-ĐT'!$D$34)/1000000</f>
        <v>19266.134127000001</v>
      </c>
      <c r="G26" s="55"/>
      <c r="H26" s="55">
        <f>SUM('[2]Tinh-ĐT'!$F$34)/1000000</f>
        <v>19266.134127000001</v>
      </c>
      <c r="I26" s="64">
        <f t="shared" si="5"/>
        <v>34.997518850136245</v>
      </c>
      <c r="J26" s="64"/>
      <c r="K26" s="64"/>
      <c r="L26" s="48"/>
      <c r="N26" s="36"/>
      <c r="O26" s="36"/>
      <c r="P26" s="36"/>
      <c r="Q26" s="36"/>
      <c r="S26" s="38"/>
      <c r="T26" s="61"/>
      <c r="U26" s="38"/>
      <c r="V26" s="63"/>
    </row>
    <row r="27" spans="1:24" s="21" customFormat="1" x14ac:dyDescent="0.3">
      <c r="A27" s="44" t="s">
        <v>36</v>
      </c>
      <c r="B27" s="45" t="s">
        <v>37</v>
      </c>
      <c r="C27" s="66">
        <f>SUM([3]BIEU62!$D$29)-39679-730</f>
        <v>4998879</v>
      </c>
      <c r="D27" s="66">
        <f>C27-E27</f>
        <v>1902770</v>
      </c>
      <c r="E27" s="66">
        <f>3058509+E31</f>
        <v>3096109</v>
      </c>
      <c r="F27" s="66">
        <f>ROUND(SUM('[2]Tinh-ĐT'!$D$36)/1000000,0)</f>
        <v>4862861</v>
      </c>
      <c r="G27" s="66">
        <f>ROUND(SUM('[2]Tinh-ĐT'!$E$36)/1000000,0)</f>
        <v>1627515</v>
      </c>
      <c r="H27" s="66">
        <f>ROUND(SUM('[2]Tinh-ĐT'!$F$36)/1000000,0)</f>
        <v>3235346</v>
      </c>
      <c r="I27" s="47">
        <f t="shared" si="5"/>
        <v>97.279029958516688</v>
      </c>
      <c r="J27" s="47">
        <f t="shared" si="5"/>
        <v>85.533984664462864</v>
      </c>
      <c r="K27" s="47">
        <f t="shared" si="5"/>
        <v>104.4971607911737</v>
      </c>
      <c r="L27" s="48"/>
      <c r="N27" s="36"/>
      <c r="O27" s="36"/>
      <c r="P27" s="36"/>
      <c r="Q27" s="36"/>
      <c r="R27" s="67"/>
      <c r="S27" s="38"/>
      <c r="T27" s="61"/>
      <c r="U27" s="38"/>
      <c r="V27" s="63"/>
    </row>
    <row r="28" spans="1:24" s="21" customFormat="1" x14ac:dyDescent="0.3">
      <c r="A28" s="44"/>
      <c r="B28" s="58" t="s">
        <v>38</v>
      </c>
      <c r="C28" s="66"/>
      <c r="D28" s="66"/>
      <c r="E28" s="66"/>
      <c r="F28" s="68"/>
      <c r="G28" s="68"/>
      <c r="H28" s="68"/>
      <c r="I28" s="69"/>
      <c r="J28" s="69"/>
      <c r="K28" s="69"/>
      <c r="L28" s="48"/>
      <c r="N28" s="36"/>
      <c r="O28" s="36"/>
      <c r="P28" s="36"/>
      <c r="Q28" s="36"/>
      <c r="S28" s="38"/>
      <c r="T28" s="61"/>
      <c r="U28" s="38"/>
      <c r="V28" s="63"/>
    </row>
    <row r="29" spans="1:24" x14ac:dyDescent="0.3">
      <c r="A29" s="51">
        <v>1</v>
      </c>
      <c r="B29" s="52" t="s">
        <v>39</v>
      </c>
      <c r="C29" s="53">
        <v>2057789</v>
      </c>
      <c r="D29" s="53">
        <f>430147+10835</f>
        <v>440982</v>
      </c>
      <c r="E29" s="53">
        <v>1616807</v>
      </c>
      <c r="F29" s="53">
        <f>SUM('[1]Tinh-ĐT'!D41)/1000000</f>
        <v>2042821.3395519999</v>
      </c>
      <c r="G29" s="53">
        <f>SUM('[2]Tinh-ĐT'!$E$42)/1000000</f>
        <v>408899.01135699998</v>
      </c>
      <c r="H29" s="53">
        <f>SUM('[2]Tinh-ĐT'!$F$42)/1000000</f>
        <v>1633922.3281950001</v>
      </c>
      <c r="I29" s="56">
        <f t="shared" si="5"/>
        <v>99.272633858573442</v>
      </c>
      <c r="J29" s="56">
        <f t="shared" si="5"/>
        <v>92.724648932836246</v>
      </c>
      <c r="K29" s="56">
        <f t="shared" si="5"/>
        <v>101.05858820471461</v>
      </c>
      <c r="L29" s="48"/>
      <c r="N29" s="36"/>
      <c r="O29" s="36"/>
      <c r="P29" s="36"/>
      <c r="Q29" s="36"/>
      <c r="R29" s="38"/>
      <c r="S29" s="38"/>
      <c r="T29" s="70"/>
      <c r="U29" s="38"/>
      <c r="V29" s="70"/>
    </row>
    <row r="30" spans="1:24" x14ac:dyDescent="0.3">
      <c r="A30" s="51">
        <v>2</v>
      </c>
      <c r="B30" s="52" t="s">
        <v>40</v>
      </c>
      <c r="C30" s="53">
        <v>18000</v>
      </c>
      <c r="D30" s="53">
        <v>18000</v>
      </c>
      <c r="E30" s="53"/>
      <c r="F30" s="53">
        <f>SUM('[1]Tinh-ĐT'!D42)/1000000</f>
        <v>16093.930480000001</v>
      </c>
      <c r="G30" s="53">
        <f>SUM('[2]Tinh-ĐT'!$E$43)/1000000</f>
        <v>16093.930480000001</v>
      </c>
      <c r="H30" s="53">
        <f>SUM('[1]Tinh-ĐT'!F42)/1000000</f>
        <v>0</v>
      </c>
      <c r="I30" s="56">
        <f t="shared" si="5"/>
        <v>89.410724888888893</v>
      </c>
      <c r="J30" s="56">
        <f t="shared" si="5"/>
        <v>89.410724888888893</v>
      </c>
      <c r="K30" s="56"/>
      <c r="L30" s="48"/>
      <c r="N30" s="36"/>
      <c r="O30" s="36"/>
      <c r="P30" s="36"/>
      <c r="Q30" s="36"/>
      <c r="S30" s="49"/>
      <c r="T30" s="49"/>
      <c r="U30" s="49"/>
    </row>
    <row r="31" spans="1:24" x14ac:dyDescent="0.3">
      <c r="A31" s="51">
        <v>3</v>
      </c>
      <c r="B31" s="52" t="s">
        <v>41</v>
      </c>
      <c r="C31" s="53">
        <v>97000</v>
      </c>
      <c r="D31" s="53">
        <v>59400</v>
      </c>
      <c r="E31" s="53">
        <v>37600</v>
      </c>
      <c r="F31" s="53">
        <f>SUM('[2]Tinh-ĐT'!$D$61)/1000000</f>
        <v>29510.438037</v>
      </c>
      <c r="G31" s="53">
        <f>SUM('[1]Tinh-ĐT'!E60)/1000000</f>
        <v>0</v>
      </c>
      <c r="H31" s="53">
        <f>SUM('[2]Tinh-ĐT'!$F$61)/1000000</f>
        <v>29510.438037</v>
      </c>
      <c r="I31" s="56">
        <f t="shared" si="5"/>
        <v>30.423131996907216</v>
      </c>
      <c r="J31" s="56"/>
      <c r="K31" s="56">
        <f t="shared" si="5"/>
        <v>78.485207545212759</v>
      </c>
      <c r="L31" s="48"/>
      <c r="N31" s="36"/>
      <c r="O31" s="36"/>
      <c r="P31" s="36"/>
      <c r="Q31" s="36"/>
      <c r="S31" s="38"/>
      <c r="T31" s="38"/>
      <c r="U31" s="38"/>
    </row>
    <row r="32" spans="1:24" x14ac:dyDescent="0.3">
      <c r="A32" s="44" t="s">
        <v>42</v>
      </c>
      <c r="B32" s="45" t="s">
        <v>43</v>
      </c>
      <c r="C32" s="66"/>
      <c r="D32" s="66"/>
      <c r="E32" s="66"/>
      <c r="F32" s="46">
        <f>SUM('[1]Tinh-ĐT'!D61)/1000000</f>
        <v>3334.5</v>
      </c>
      <c r="G32" s="46">
        <f>SUM('[1]Tinh-ĐT'!E61)/1000000</f>
        <v>3334.5</v>
      </c>
      <c r="H32" s="46"/>
      <c r="I32" s="42"/>
      <c r="J32" s="42"/>
      <c r="K32" s="42"/>
      <c r="L32" s="48"/>
      <c r="N32" s="36"/>
      <c r="O32" s="36"/>
      <c r="P32" s="36"/>
      <c r="Q32" s="36"/>
      <c r="S32" s="38"/>
    </row>
    <row r="33" spans="1:19" x14ac:dyDescent="0.3">
      <c r="A33" s="75" t="s">
        <v>44</v>
      </c>
      <c r="B33" s="40" t="s">
        <v>45</v>
      </c>
      <c r="C33" s="41">
        <f>SUM([3]BIEU62!$D$56)</f>
        <v>1000</v>
      </c>
      <c r="D33" s="41">
        <v>1000</v>
      </c>
      <c r="E33" s="41"/>
      <c r="F33" s="76">
        <f>SUM('[1]Tinh-ĐT'!D62)/1000000</f>
        <v>1000</v>
      </c>
      <c r="G33" s="76">
        <f>SUM('[1]Tinh-ĐT'!E62)/1000000</f>
        <v>1000</v>
      </c>
      <c r="H33" s="76"/>
      <c r="I33" s="41">
        <f t="shared" si="5"/>
        <v>100</v>
      </c>
      <c r="J33" s="41">
        <f t="shared" si="5"/>
        <v>100</v>
      </c>
      <c r="K33" s="47"/>
      <c r="L33" s="48"/>
      <c r="M33" s="38"/>
      <c r="N33" s="36"/>
      <c r="O33" s="36"/>
      <c r="P33" s="36"/>
      <c r="Q33" s="36"/>
      <c r="S33" s="38"/>
    </row>
    <row r="34" spans="1:19" x14ac:dyDescent="0.3">
      <c r="A34" s="44" t="s">
        <v>46</v>
      </c>
      <c r="B34" s="45" t="s">
        <v>47</v>
      </c>
      <c r="C34" s="66">
        <f>SUM([3]BIEU62!$D$55)</f>
        <v>110190</v>
      </c>
      <c r="D34" s="66">
        <v>54930</v>
      </c>
      <c r="E34" s="66">
        <v>55260</v>
      </c>
      <c r="F34" s="60"/>
      <c r="G34" s="60"/>
      <c r="H34" s="60"/>
      <c r="I34" s="51"/>
      <c r="J34" s="47"/>
      <c r="K34" s="47"/>
      <c r="L34" s="48"/>
      <c r="M34" s="38"/>
      <c r="N34" s="36"/>
      <c r="O34" s="36"/>
      <c r="P34" s="36"/>
      <c r="Q34" s="36"/>
      <c r="S34" s="38"/>
    </row>
    <row r="35" spans="1:19" x14ac:dyDescent="0.3">
      <c r="A35" s="44" t="s">
        <v>48</v>
      </c>
      <c r="B35" s="45" t="s">
        <v>49</v>
      </c>
      <c r="C35" s="66">
        <f>SUM([3]BIEU62!$D$58)</f>
        <v>216800</v>
      </c>
      <c r="D35" s="66">
        <v>216800</v>
      </c>
      <c r="E35" s="66"/>
      <c r="F35" s="60"/>
      <c r="G35" s="60"/>
      <c r="H35" s="60"/>
      <c r="I35" s="51"/>
      <c r="J35" s="47"/>
      <c r="K35" s="47"/>
      <c r="L35" s="48"/>
      <c r="N35" s="36"/>
      <c r="O35" s="36"/>
      <c r="P35" s="36"/>
      <c r="Q35" s="36"/>
    </row>
    <row r="36" spans="1:19" x14ac:dyDescent="0.3">
      <c r="A36" s="137" t="s">
        <v>15</v>
      </c>
      <c r="B36" s="71" t="s">
        <v>50</v>
      </c>
      <c r="C36" s="72">
        <f>C37+C46</f>
        <v>659571</v>
      </c>
      <c r="D36" s="72">
        <f t="shared" ref="D36:E36" si="6">D37+D46</f>
        <v>428014</v>
      </c>
      <c r="E36" s="72">
        <f t="shared" si="6"/>
        <v>231689</v>
      </c>
      <c r="F36" s="73">
        <f>ROUND(SUM(F37,F46),0)</f>
        <v>1208542</v>
      </c>
      <c r="G36" s="73">
        <f>SUM(G37,G46)+1</f>
        <v>884112</v>
      </c>
      <c r="H36" s="73">
        <f>ROUND(SUM(H37,H46),0)</f>
        <v>324430</v>
      </c>
      <c r="I36" s="74">
        <f t="shared" ref="I36:K51" si="7">F36/C36*100</f>
        <v>183.231524733501</v>
      </c>
      <c r="J36" s="74">
        <f t="shared" si="5"/>
        <v>206.5614676155453</v>
      </c>
      <c r="K36" s="74">
        <f t="shared" si="5"/>
        <v>140.02822749461563</v>
      </c>
      <c r="L36" s="48"/>
      <c r="N36" s="36"/>
      <c r="O36" s="36"/>
      <c r="P36" s="36"/>
      <c r="Q36" s="36"/>
    </row>
    <row r="37" spans="1:19" x14ac:dyDescent="0.3">
      <c r="A37" s="80" t="s">
        <v>22</v>
      </c>
      <c r="B37" s="40" t="s">
        <v>51</v>
      </c>
      <c r="C37" s="76">
        <f>SUM('[2]Bieu 51-ND31'!$C$33)</f>
        <v>178236</v>
      </c>
      <c r="D37" s="76">
        <f>SUM(D38,D41,D44)+7000</f>
        <v>12149</v>
      </c>
      <c r="E37" s="76">
        <f>SUM(E38,E41,E44)</f>
        <v>166219</v>
      </c>
      <c r="F37" s="76">
        <f t="shared" ref="F37:H37" si="8">SUM(F38,F41,F44)</f>
        <v>171836.78065200002</v>
      </c>
      <c r="G37" s="76">
        <f t="shared" si="8"/>
        <v>4419</v>
      </c>
      <c r="H37" s="76">
        <f t="shared" si="8"/>
        <v>167417</v>
      </c>
      <c r="I37" s="47">
        <f t="shared" si="7"/>
        <v>96.409693132700468</v>
      </c>
      <c r="J37" s="47">
        <f t="shared" si="5"/>
        <v>36.373364062885834</v>
      </c>
      <c r="K37" s="47">
        <f t="shared" si="5"/>
        <v>100.72073589661832</v>
      </c>
      <c r="L37" s="48"/>
      <c r="N37" s="36"/>
      <c r="O37" s="36"/>
      <c r="P37" s="36"/>
      <c r="Q37" s="36"/>
    </row>
    <row r="38" spans="1:19" x14ac:dyDescent="0.3">
      <c r="A38" s="51">
        <v>1</v>
      </c>
      <c r="B38" s="77" t="s">
        <v>52</v>
      </c>
      <c r="C38" s="78">
        <f>SUM('[2]Bieu 51-ND31'!$C$34)</f>
        <v>82036</v>
      </c>
      <c r="D38" s="78">
        <f>1767</f>
        <v>1767</v>
      </c>
      <c r="E38" s="78">
        <f>80269</f>
        <v>80269</v>
      </c>
      <c r="F38" s="78">
        <f>SUM('[1]Tinh-ĐT'!D67)/1000000</f>
        <v>84686.071339999995</v>
      </c>
      <c r="G38" s="78">
        <v>1200</v>
      </c>
      <c r="H38" s="78">
        <v>83486</v>
      </c>
      <c r="I38" s="79">
        <f t="shared" si="7"/>
        <v>103.23037610317421</v>
      </c>
      <c r="J38" s="79">
        <f t="shared" si="7"/>
        <v>67.911714770797957</v>
      </c>
      <c r="K38" s="79">
        <f t="shared" si="7"/>
        <v>104.00777386039441</v>
      </c>
      <c r="L38" s="43"/>
      <c r="N38" s="36"/>
      <c r="O38" s="36"/>
      <c r="P38" s="36"/>
      <c r="Q38" s="36"/>
    </row>
    <row r="39" spans="1:19" x14ac:dyDescent="0.3">
      <c r="A39" s="80"/>
      <c r="B39" s="81" t="s">
        <v>53</v>
      </c>
      <c r="C39" s="82">
        <v>62557</v>
      </c>
      <c r="D39" s="82"/>
      <c r="E39" s="82">
        <v>62557</v>
      </c>
      <c r="F39" s="82">
        <v>64405</v>
      </c>
      <c r="G39" s="82"/>
      <c r="H39" s="82">
        <v>64405</v>
      </c>
      <c r="I39" s="56">
        <f t="shared" si="7"/>
        <v>102.95410585545982</v>
      </c>
      <c r="J39" s="56"/>
      <c r="K39" s="56">
        <f t="shared" si="7"/>
        <v>102.95410585545982</v>
      </c>
      <c r="L39" s="43"/>
      <c r="N39" s="36"/>
      <c r="O39" s="36"/>
      <c r="P39" s="36"/>
      <c r="Q39" s="36"/>
    </row>
    <row r="40" spans="1:19" x14ac:dyDescent="0.3">
      <c r="A40" s="51"/>
      <c r="B40" s="77" t="s">
        <v>54</v>
      </c>
      <c r="C40" s="78">
        <v>19479</v>
      </c>
      <c r="D40" s="78">
        <v>1767</v>
      </c>
      <c r="E40" s="78">
        <v>17712</v>
      </c>
      <c r="F40" s="78">
        <v>20281</v>
      </c>
      <c r="G40" s="78">
        <v>1200</v>
      </c>
      <c r="H40" s="78">
        <v>19081</v>
      </c>
      <c r="I40" s="79">
        <f t="shared" si="7"/>
        <v>104.11725447918272</v>
      </c>
      <c r="J40" s="79">
        <f t="shared" si="7"/>
        <v>67.911714770797957</v>
      </c>
      <c r="K40" s="79">
        <f t="shared" si="7"/>
        <v>107.72922312556459</v>
      </c>
      <c r="L40" s="43"/>
      <c r="N40" s="36"/>
      <c r="O40" s="36"/>
      <c r="P40" s="36"/>
      <c r="Q40" s="36"/>
    </row>
    <row r="41" spans="1:19" x14ac:dyDescent="0.3">
      <c r="A41" s="80">
        <v>2</v>
      </c>
      <c r="B41" s="81" t="s">
        <v>55</v>
      </c>
      <c r="C41" s="82">
        <v>89200</v>
      </c>
      <c r="D41" s="78">
        <f>3250</f>
        <v>3250</v>
      </c>
      <c r="E41" s="78">
        <f>85950</f>
        <v>85950</v>
      </c>
      <c r="F41" s="78">
        <f>SUM('[1]Tinh-ĐT'!D68)/1000000</f>
        <v>87018.827311999994</v>
      </c>
      <c r="G41" s="78">
        <v>3087</v>
      </c>
      <c r="H41" s="78">
        <v>83931</v>
      </c>
      <c r="I41" s="79">
        <f t="shared" si="7"/>
        <v>97.554739139013449</v>
      </c>
      <c r="J41" s="79">
        <f t="shared" si="7"/>
        <v>94.984615384615395</v>
      </c>
      <c r="K41" s="79">
        <f t="shared" si="7"/>
        <v>97.650959860383949</v>
      </c>
      <c r="L41" s="48"/>
      <c r="N41" s="36"/>
      <c r="O41" s="36"/>
      <c r="P41" s="36"/>
      <c r="Q41" s="36"/>
    </row>
    <row r="42" spans="1:19" x14ac:dyDescent="0.3">
      <c r="A42" s="80"/>
      <c r="B42" s="77" t="s">
        <v>53</v>
      </c>
      <c r="C42" s="78">
        <v>69000</v>
      </c>
      <c r="D42" s="78"/>
      <c r="E42" s="78">
        <v>69000</v>
      </c>
      <c r="F42" s="78">
        <v>69894</v>
      </c>
      <c r="G42" s="78"/>
      <c r="H42" s="78">
        <v>69894</v>
      </c>
      <c r="I42" s="79">
        <f t="shared" si="7"/>
        <v>101.29565217391306</v>
      </c>
      <c r="J42" s="79"/>
      <c r="K42" s="79">
        <f t="shared" si="7"/>
        <v>101.29565217391306</v>
      </c>
      <c r="L42" s="83"/>
      <c r="N42" s="36"/>
      <c r="O42" s="36"/>
      <c r="P42" s="36"/>
      <c r="Q42" s="36"/>
    </row>
    <row r="43" spans="1:19" x14ac:dyDescent="0.3">
      <c r="A43" s="80"/>
      <c r="B43" s="77" t="s">
        <v>54</v>
      </c>
      <c r="C43" s="78">
        <v>20200</v>
      </c>
      <c r="D43" s="78">
        <v>3250</v>
      </c>
      <c r="E43" s="78">
        <v>16950</v>
      </c>
      <c r="F43" s="78">
        <v>17125</v>
      </c>
      <c r="G43" s="78">
        <v>3088</v>
      </c>
      <c r="H43" s="78">
        <v>14037</v>
      </c>
      <c r="I43" s="79">
        <f t="shared" si="7"/>
        <v>84.777227722772281</v>
      </c>
      <c r="J43" s="79">
        <f t="shared" si="7"/>
        <v>95.015384615384619</v>
      </c>
      <c r="K43" s="79">
        <f t="shared" si="7"/>
        <v>82.814159292035399</v>
      </c>
      <c r="L43" s="83"/>
      <c r="N43" s="36"/>
      <c r="O43" s="36"/>
      <c r="P43" s="36"/>
      <c r="Q43" s="36"/>
    </row>
    <row r="44" spans="1:19" x14ac:dyDescent="0.3">
      <c r="A44" s="51">
        <v>3</v>
      </c>
      <c r="B44" s="77" t="s">
        <v>56</v>
      </c>
      <c r="C44" s="53">
        <v>132</v>
      </c>
      <c r="D44" s="53">
        <v>132</v>
      </c>
      <c r="E44" s="53"/>
      <c r="F44" s="78">
        <f>SUM('[1]Tinh-ĐT'!D69)/1000000</f>
        <v>131.88200000000001</v>
      </c>
      <c r="G44" s="78">
        <v>132</v>
      </c>
      <c r="H44" s="78"/>
      <c r="I44" s="79"/>
      <c r="J44" s="79"/>
      <c r="K44" s="79"/>
      <c r="L44" s="84"/>
      <c r="N44" s="36"/>
      <c r="O44" s="36"/>
      <c r="P44" s="36"/>
      <c r="Q44" s="36"/>
    </row>
    <row r="45" spans="1:19" x14ac:dyDescent="0.3">
      <c r="A45" s="80"/>
      <c r="B45" s="77" t="s">
        <v>54</v>
      </c>
      <c r="C45" s="64">
        <v>132</v>
      </c>
      <c r="D45" s="64">
        <v>132</v>
      </c>
      <c r="E45" s="64"/>
      <c r="F45" s="82">
        <v>132</v>
      </c>
      <c r="G45" s="82">
        <v>132</v>
      </c>
      <c r="H45" s="82"/>
      <c r="I45" s="56"/>
      <c r="J45" s="56"/>
      <c r="K45" s="56"/>
      <c r="L45" s="43"/>
      <c r="N45" s="36"/>
      <c r="O45" s="36"/>
      <c r="P45" s="36"/>
      <c r="Q45" s="36"/>
    </row>
    <row r="46" spans="1:19" x14ac:dyDescent="0.3">
      <c r="A46" s="75" t="s">
        <v>36</v>
      </c>
      <c r="B46" s="40" t="s">
        <v>57</v>
      </c>
      <c r="C46" s="41">
        <f>C47+C70</f>
        <v>481335</v>
      </c>
      <c r="D46" s="41">
        <f t="shared" ref="D46:E46" si="9">D47+D70</f>
        <v>415865</v>
      </c>
      <c r="E46" s="41">
        <f t="shared" si="9"/>
        <v>65470</v>
      </c>
      <c r="F46" s="76">
        <f>ROUND(SUM(F47,F70),0)</f>
        <v>1036705</v>
      </c>
      <c r="G46" s="76">
        <f>ROUND(SUM(G47,G70),0)</f>
        <v>879692</v>
      </c>
      <c r="H46" s="76">
        <f>ROUND(SUM(H47,H70),0)</f>
        <v>157013</v>
      </c>
      <c r="I46" s="47">
        <f t="shared" si="7"/>
        <v>215.38117942804908</v>
      </c>
      <c r="J46" s="47">
        <f t="shared" si="7"/>
        <v>211.53306962596034</v>
      </c>
      <c r="K46" s="47">
        <f t="shared" si="7"/>
        <v>239.82434702917365</v>
      </c>
      <c r="L46" s="85"/>
      <c r="N46" s="36"/>
      <c r="O46" s="36"/>
      <c r="P46" s="36"/>
      <c r="Q46" s="36"/>
    </row>
    <row r="47" spans="1:19" ht="16.2" x14ac:dyDescent="0.3">
      <c r="A47" s="86">
        <v>1</v>
      </c>
      <c r="B47" s="87" t="s">
        <v>58</v>
      </c>
      <c r="C47" s="88">
        <f>C48</f>
        <v>480605</v>
      </c>
      <c r="D47" s="88">
        <f>D48</f>
        <v>415135</v>
      </c>
      <c r="E47" s="88">
        <f>E48</f>
        <v>65470</v>
      </c>
      <c r="F47" s="88">
        <f>F48+F62</f>
        <v>710881.01930100005</v>
      </c>
      <c r="G47" s="88">
        <f t="shared" ref="G47" si="10">G48+G62</f>
        <v>626926.01411000011</v>
      </c>
      <c r="H47" s="88">
        <f>ROUND(H48+H62,0)</f>
        <v>83955</v>
      </c>
      <c r="I47" s="47">
        <f t="shared" si="7"/>
        <v>147.91377936163795</v>
      </c>
      <c r="J47" s="47">
        <f t="shared" si="7"/>
        <v>151.0173832873644</v>
      </c>
      <c r="K47" s="47">
        <f t="shared" si="7"/>
        <v>128.23430578891094</v>
      </c>
      <c r="L47" s="48"/>
      <c r="N47" s="36"/>
      <c r="O47" s="36"/>
      <c r="P47" s="36"/>
      <c r="Q47" s="36"/>
    </row>
    <row r="48" spans="1:19" s="93" customFormat="1" ht="16.2" x14ac:dyDescent="0.3">
      <c r="A48" s="89"/>
      <c r="B48" s="90" t="s">
        <v>59</v>
      </c>
      <c r="C48" s="91">
        <f>SUM(C49,C61)</f>
        <v>480605</v>
      </c>
      <c r="D48" s="91">
        <f t="shared" ref="D48:E48" si="11">SUM(D49,D61)</f>
        <v>415135</v>
      </c>
      <c r="E48" s="91">
        <f t="shared" si="11"/>
        <v>65470</v>
      </c>
      <c r="F48" s="91">
        <f>SUM(F49,F61)</f>
        <v>525755.810512</v>
      </c>
      <c r="G48" s="91">
        <f t="shared" ref="G48:H48" si="12">SUM(G49,G61)</f>
        <v>460151.65532100003</v>
      </c>
      <c r="H48" s="91">
        <f t="shared" si="12"/>
        <v>65604.155190999998</v>
      </c>
      <c r="I48" s="47">
        <f t="shared" si="7"/>
        <v>109.39457777426369</v>
      </c>
      <c r="J48" s="47">
        <f t="shared" si="7"/>
        <v>110.84385930384093</v>
      </c>
      <c r="K48" s="47">
        <f t="shared" si="7"/>
        <v>100.20491093783413</v>
      </c>
      <c r="L48" s="92"/>
      <c r="N48" s="36"/>
      <c r="O48" s="36"/>
      <c r="P48" s="36"/>
      <c r="Q48" s="36"/>
    </row>
    <row r="49" spans="1:17" s="93" customFormat="1" ht="16.2" x14ac:dyDescent="0.3">
      <c r="A49" s="94" t="s">
        <v>60</v>
      </c>
      <c r="B49" s="95" t="s">
        <v>61</v>
      </c>
      <c r="C49" s="91">
        <f>SUM(C50:C60)</f>
        <v>383750</v>
      </c>
      <c r="D49" s="91">
        <f t="shared" ref="D49:E49" si="13">SUM(D50:D60)</f>
        <v>318280</v>
      </c>
      <c r="E49" s="91">
        <f t="shared" si="13"/>
        <v>65470</v>
      </c>
      <c r="F49" s="91">
        <f>SUM(F50:F60)</f>
        <v>506494.20866799995</v>
      </c>
      <c r="G49" s="91">
        <f t="shared" ref="G49:H49" si="14">SUM(G50:G60)</f>
        <v>440890.05347700004</v>
      </c>
      <c r="H49" s="91">
        <f t="shared" si="14"/>
        <v>65604.155190999998</v>
      </c>
      <c r="I49" s="47">
        <f t="shared" si="7"/>
        <v>131.98546154214984</v>
      </c>
      <c r="J49" s="47">
        <f t="shared" si="7"/>
        <v>138.5227012306774</v>
      </c>
      <c r="K49" s="47">
        <f t="shared" si="7"/>
        <v>100.20491093783413</v>
      </c>
      <c r="L49" s="92"/>
      <c r="N49" s="36"/>
      <c r="O49" s="36"/>
      <c r="P49" s="36"/>
      <c r="Q49" s="36"/>
    </row>
    <row r="50" spans="1:17" s="93" customFormat="1" ht="46.8" x14ac:dyDescent="0.3">
      <c r="A50" s="94"/>
      <c r="B50" s="52" t="s">
        <v>62</v>
      </c>
      <c r="C50" s="53">
        <f>SUM('[1]Tinh-ĐT'!C73)/1000000</f>
        <v>86250</v>
      </c>
      <c r="D50" s="53">
        <f>SUM('[4]Bieu 51-ND31'!D39)/1000000</f>
        <v>85750</v>
      </c>
      <c r="E50" s="53">
        <f>SUM('[4]Bieu 51-ND31'!E39)/1000000</f>
        <v>500</v>
      </c>
      <c r="F50" s="53">
        <f>SUM('[1]Tinh-ĐT'!D73)/1000000</f>
        <v>171751.39102099999</v>
      </c>
      <c r="G50" s="53">
        <f>SUM('[4]Bieu 51-ND31'!G39)/1000000</f>
        <v>171251.39102099999</v>
      </c>
      <c r="H50" s="53">
        <f>SUM('[4]Bieu 51-ND31'!H39)/1000000</f>
        <v>500</v>
      </c>
      <c r="I50" s="56">
        <f t="shared" si="7"/>
        <v>199.13204756057971</v>
      </c>
      <c r="J50" s="56">
        <f t="shared" si="7"/>
        <v>199.7100769924198</v>
      </c>
      <c r="K50" s="64">
        <f t="shared" si="7"/>
        <v>100</v>
      </c>
      <c r="L50" s="92"/>
      <c r="N50" s="36"/>
      <c r="O50" s="36"/>
      <c r="P50" s="36"/>
      <c r="Q50" s="36"/>
    </row>
    <row r="51" spans="1:17" s="93" customFormat="1" ht="16.2" x14ac:dyDescent="0.3">
      <c r="A51" s="94"/>
      <c r="B51" s="52" t="s">
        <v>63</v>
      </c>
      <c r="C51" s="53">
        <f>SUM('[1]Tinh-ĐT'!C74)/1000000</f>
        <v>3000</v>
      </c>
      <c r="D51" s="53">
        <f>SUM('[4]Bieu 51-ND31'!D40)/1000000</f>
        <v>3000</v>
      </c>
      <c r="E51" s="53"/>
      <c r="F51" s="53">
        <f>SUM('[1]Tinh-ĐT'!D74)/1000000</f>
        <v>5826.9160000000002</v>
      </c>
      <c r="G51" s="53">
        <f>SUM('[4]Bieu 51-ND31'!G40)/1000000</f>
        <v>5826.9160000000002</v>
      </c>
      <c r="H51" s="53"/>
      <c r="I51" s="56">
        <f t="shared" si="7"/>
        <v>194.23053333333334</v>
      </c>
      <c r="J51" s="56">
        <f t="shared" si="7"/>
        <v>194.23053333333334</v>
      </c>
      <c r="K51" s="56"/>
      <c r="L51" s="92"/>
      <c r="N51" s="36"/>
      <c r="O51" s="36"/>
      <c r="P51" s="36"/>
      <c r="Q51" s="36"/>
    </row>
    <row r="52" spans="1:17" s="93" customFormat="1" ht="16.2" x14ac:dyDescent="0.3">
      <c r="A52" s="94"/>
      <c r="B52" s="52" t="s">
        <v>64</v>
      </c>
      <c r="C52" s="53">
        <f>SUM('[1]Tinh-ĐT'!C75)/1000000</f>
        <v>6122</v>
      </c>
      <c r="D52" s="53">
        <f>SUM('[4]Bieu 51-ND31'!D41)/1000000</f>
        <v>6122</v>
      </c>
      <c r="E52" s="53"/>
      <c r="F52" s="53">
        <f>SUM('[1]Tinh-ĐT'!D75)/1000000</f>
        <v>7396.2219999999998</v>
      </c>
      <c r="G52" s="53">
        <f>SUM('[4]Bieu 51-ND31'!G41)/1000000</f>
        <v>6252.2219999999998</v>
      </c>
      <c r="H52" s="53">
        <f>SUM('[4]Bieu 51-ND31'!H41)/1000000</f>
        <v>1144</v>
      </c>
      <c r="I52" s="56">
        <f t="shared" ref="I52:K69" si="15">F52/C52*100</f>
        <v>120.81381901339432</v>
      </c>
      <c r="J52" s="56">
        <f t="shared" si="15"/>
        <v>102.12711532179026</v>
      </c>
      <c r="K52" s="56"/>
      <c r="L52" s="92"/>
      <c r="N52" s="36"/>
      <c r="O52" s="36"/>
      <c r="P52" s="36"/>
      <c r="Q52" s="36"/>
    </row>
    <row r="53" spans="1:17" s="93" customFormat="1" ht="16.2" x14ac:dyDescent="0.3">
      <c r="A53" s="94"/>
      <c r="B53" s="52" t="s">
        <v>65</v>
      </c>
      <c r="C53" s="53">
        <f>SUM('[1]Tinh-ĐT'!C76)/1000000</f>
        <v>4500</v>
      </c>
      <c r="D53" s="53">
        <f>SUM('[4]Bieu 51-ND31'!D42)/1000000</f>
        <v>4500</v>
      </c>
      <c r="E53" s="53"/>
      <c r="F53" s="53">
        <f>SUM('[1]Tinh-ĐT'!D76)/1000000</f>
        <v>4500</v>
      </c>
      <c r="G53" s="53">
        <f>SUM('[4]Bieu 51-ND31'!G42)/1000000</f>
        <v>4500</v>
      </c>
      <c r="H53" s="53"/>
      <c r="I53" s="64">
        <f t="shared" si="15"/>
        <v>100</v>
      </c>
      <c r="J53" s="64">
        <f t="shared" si="15"/>
        <v>100</v>
      </c>
      <c r="K53" s="56"/>
      <c r="L53" s="92"/>
      <c r="N53" s="36"/>
      <c r="O53" s="36"/>
      <c r="P53" s="36"/>
      <c r="Q53" s="36"/>
    </row>
    <row r="54" spans="1:17" s="93" customFormat="1" ht="16.2" x14ac:dyDescent="0.3">
      <c r="A54" s="94"/>
      <c r="B54" s="52" t="s">
        <v>66</v>
      </c>
      <c r="C54" s="53">
        <f>SUM('[1]Tinh-ĐT'!C77)/1000000</f>
        <v>13000</v>
      </c>
      <c r="D54" s="53">
        <f>SUM('[4]Bieu 51-ND31'!D43)/1000000</f>
        <v>10000</v>
      </c>
      <c r="E54" s="53">
        <f>SUM('[4]Bieu 51-ND31'!E43)/1000000</f>
        <v>3000</v>
      </c>
      <c r="F54" s="53">
        <f>SUM('[1]Tinh-ĐT'!D77)/1000000</f>
        <v>20963.654291999999</v>
      </c>
      <c r="G54" s="53">
        <f>SUM('[4]Bieu 51-ND31'!G43)/1000000</f>
        <v>16714.250292000001</v>
      </c>
      <c r="H54" s="53">
        <f>SUM('[4]Bieu 51-ND31'!H43)/1000000</f>
        <v>4249.4040000000005</v>
      </c>
      <c r="I54" s="56">
        <f t="shared" si="15"/>
        <v>161.25887916923077</v>
      </c>
      <c r="J54" s="56">
        <f t="shared" si="15"/>
        <v>167.14250292000003</v>
      </c>
      <c r="K54" s="56">
        <f t="shared" si="15"/>
        <v>141.64680000000001</v>
      </c>
      <c r="L54" s="92"/>
      <c r="N54" s="36"/>
      <c r="O54" s="36"/>
      <c r="P54" s="36"/>
      <c r="Q54" s="36"/>
    </row>
    <row r="55" spans="1:17" s="93" customFormat="1" ht="16.2" x14ac:dyDescent="0.3">
      <c r="A55" s="94"/>
      <c r="B55" s="52" t="s">
        <v>67</v>
      </c>
      <c r="C55" s="53">
        <f>SUM('[1]Tinh-ĐT'!C78)/1000000</f>
        <v>240162</v>
      </c>
      <c r="D55" s="53">
        <f>SUM('[4]Bieu 51-ND31'!D44)/1000000</f>
        <v>195191</v>
      </c>
      <c r="E55" s="53">
        <f>SUM('[4]Bieu 51-ND31'!E44)/1000000</f>
        <v>44971</v>
      </c>
      <c r="F55" s="53">
        <f>SUM('[1]Tinh-ĐT'!D78)/1000000</f>
        <v>261634.688933</v>
      </c>
      <c r="G55" s="53">
        <f>SUM('[4]Bieu 51-ND31'!G44)/1000000</f>
        <v>215135.12929800001</v>
      </c>
      <c r="H55" s="53">
        <f>SUM('[4]Bieu 51-ND31'!H44)/1000000</f>
        <v>46499.559634999998</v>
      </c>
      <c r="I55" s="56">
        <f t="shared" si="15"/>
        <v>108.94091860202697</v>
      </c>
      <c r="J55" s="56">
        <f t="shared" si="15"/>
        <v>110.21775045878141</v>
      </c>
      <c r="K55" s="56">
        <f t="shared" si="15"/>
        <v>103.39898964888484</v>
      </c>
      <c r="L55" s="92"/>
      <c r="N55" s="36"/>
      <c r="O55" s="36"/>
      <c r="P55" s="36"/>
      <c r="Q55" s="36"/>
    </row>
    <row r="56" spans="1:17" s="93" customFormat="1" ht="16.2" x14ac:dyDescent="0.3">
      <c r="A56" s="94"/>
      <c r="B56" s="52" t="s">
        <v>68</v>
      </c>
      <c r="C56" s="53">
        <f>SUM('[1]Tinh-ĐT'!C79)/1000000</f>
        <v>500</v>
      </c>
      <c r="D56" s="53">
        <f>SUM('[4]Bieu 51-ND31'!D45)/1000000</f>
        <v>500</v>
      </c>
      <c r="E56" s="53"/>
      <c r="F56" s="53">
        <f>SUM('[1]Tinh-ĐT'!D79)/1000000</f>
        <v>1728.1588019999999</v>
      </c>
      <c r="G56" s="53">
        <f>SUM('[4]Bieu 51-ND31'!G45)/1000000</f>
        <v>1728.1588019999999</v>
      </c>
      <c r="H56" s="53"/>
      <c r="I56" s="56">
        <f t="shared" si="15"/>
        <v>345.63176039999996</v>
      </c>
      <c r="J56" s="56">
        <f t="shared" si="15"/>
        <v>345.63176039999996</v>
      </c>
      <c r="K56" s="56"/>
      <c r="L56" s="92"/>
      <c r="N56" s="36"/>
      <c r="O56" s="36"/>
      <c r="P56" s="36"/>
      <c r="Q56" s="36"/>
    </row>
    <row r="57" spans="1:17" s="93" customFormat="1" ht="16.2" x14ac:dyDescent="0.3">
      <c r="A57" s="94"/>
      <c r="B57" s="52" t="s">
        <v>69</v>
      </c>
      <c r="C57" s="53">
        <f>SUM('[1]Tinh-ĐT'!C80)/1000000</f>
        <v>7000</v>
      </c>
      <c r="D57" s="53">
        <f>SUM('[4]Bieu 51-ND31'!D46)/1000000</f>
        <v>7000</v>
      </c>
      <c r="E57" s="53"/>
      <c r="F57" s="53">
        <f>SUM('[1]Tinh-ĐT'!D80)/1000000</f>
        <v>7000</v>
      </c>
      <c r="G57" s="53">
        <f>SUM('[4]Bieu 51-ND31'!G46)/1000000</f>
        <v>7000</v>
      </c>
      <c r="H57" s="53"/>
      <c r="I57" s="64">
        <f t="shared" si="15"/>
        <v>100</v>
      </c>
      <c r="J57" s="64">
        <f t="shared" si="15"/>
        <v>100</v>
      </c>
      <c r="K57" s="56"/>
      <c r="L57" s="92"/>
      <c r="N57" s="36"/>
      <c r="O57" s="36"/>
      <c r="P57" s="36"/>
      <c r="Q57" s="36"/>
    </row>
    <row r="58" spans="1:17" s="93" customFormat="1" ht="31.2" x14ac:dyDescent="0.3">
      <c r="A58" s="94"/>
      <c r="B58" s="52" t="s">
        <v>70</v>
      </c>
      <c r="C58" s="53">
        <f>SUM('[1]Tinh-ĐT'!C81)/1000000</f>
        <v>22716</v>
      </c>
      <c r="D58" s="53">
        <f>SUM('[4]Bieu 51-ND31'!D47)/1000000</f>
        <v>5717</v>
      </c>
      <c r="E58" s="53">
        <f>SUM('[4]Bieu 51-ND31'!E47)/1000000</f>
        <v>16999</v>
      </c>
      <c r="F58" s="53">
        <f>SUM('[1]Tinh-ĐT'!D81)/1000000</f>
        <v>24984.949619999999</v>
      </c>
      <c r="G58" s="53">
        <f>SUM('[4]Bieu 51-ND31'!G47)/1000000</f>
        <v>11773.758064</v>
      </c>
      <c r="H58" s="53">
        <f>SUM('[4]Bieu 51-ND31'!H47)/1000000</f>
        <v>13211.191556</v>
      </c>
      <c r="I58" s="56">
        <f t="shared" si="15"/>
        <v>109.98833254094032</v>
      </c>
      <c r="J58" s="56">
        <f t="shared" si="15"/>
        <v>205.94294322196959</v>
      </c>
      <c r="K58" s="56">
        <f t="shared" si="15"/>
        <v>77.717463121360069</v>
      </c>
      <c r="L58" s="92"/>
      <c r="N58" s="36"/>
      <c r="O58" s="36"/>
      <c r="P58" s="36"/>
      <c r="Q58" s="36"/>
    </row>
    <row r="59" spans="1:17" s="93" customFormat="1" ht="16.2" x14ac:dyDescent="0.3">
      <c r="A59" s="94"/>
      <c r="B59" s="52" t="s">
        <v>71</v>
      </c>
      <c r="C59" s="53">
        <f>SUM('[1]Tinh-ĐT'!C82)/1000000</f>
        <v>500</v>
      </c>
      <c r="D59" s="53">
        <f>SUM('[4]Bieu 51-ND31'!D48)/1000000</f>
        <v>500</v>
      </c>
      <c r="E59" s="53"/>
      <c r="F59" s="53">
        <f>SUM('[1]Tinh-ĐT'!D82)/1000000</f>
        <v>500</v>
      </c>
      <c r="G59" s="53">
        <f>SUM('[4]Bieu 51-ND31'!G48)/1000000</f>
        <v>500</v>
      </c>
      <c r="H59" s="53"/>
      <c r="I59" s="64">
        <f t="shared" si="15"/>
        <v>100</v>
      </c>
      <c r="J59" s="64">
        <f t="shared" si="15"/>
        <v>100</v>
      </c>
      <c r="K59" s="56"/>
      <c r="L59" s="92"/>
      <c r="N59" s="36"/>
      <c r="O59" s="36"/>
      <c r="P59" s="36"/>
      <c r="Q59" s="36"/>
    </row>
    <row r="60" spans="1:17" s="93" customFormat="1" ht="16.2" x14ac:dyDescent="0.3">
      <c r="A60" s="94"/>
      <c r="B60" s="52" t="s">
        <v>72</v>
      </c>
      <c r="C60" s="53"/>
      <c r="D60" s="53"/>
      <c r="E60" s="53"/>
      <c r="F60" s="53">
        <f>SUM('[1]Tinh-ĐT'!D83)/1000000</f>
        <v>208.22800000000001</v>
      </c>
      <c r="G60" s="53">
        <f>SUM('[4]Bieu 51-ND31'!G49)/1000000</f>
        <v>208.22800000000001</v>
      </c>
      <c r="H60" s="53"/>
      <c r="I60" s="56"/>
      <c r="J60" s="56"/>
      <c r="K60" s="56"/>
      <c r="L60" s="92"/>
      <c r="N60" s="36"/>
      <c r="O60" s="36"/>
      <c r="P60" s="36"/>
      <c r="Q60" s="36"/>
    </row>
    <row r="61" spans="1:17" s="93" customFormat="1" ht="16.2" x14ac:dyDescent="0.3">
      <c r="A61" s="94" t="s">
        <v>73</v>
      </c>
      <c r="B61" s="100" t="s">
        <v>74</v>
      </c>
      <c r="C61" s="91">
        <f>SUM('[1]Tinh-ĐT'!C87)/1000000</f>
        <v>96855</v>
      </c>
      <c r="D61" s="146">
        <f>SUM('[4]Bieu 51-ND31'!D50)/1000000</f>
        <v>96855</v>
      </c>
      <c r="E61" s="91"/>
      <c r="F61" s="91">
        <f>SUM('[1]Tinh-ĐT'!D87)/1000000</f>
        <v>19261.601844000001</v>
      </c>
      <c r="G61" s="91">
        <f>SUM('[4]Bieu 51-ND31'!$G$51)/1000000</f>
        <v>19261.601844000001</v>
      </c>
      <c r="H61" s="91"/>
      <c r="I61" s="101">
        <f t="shared" si="15"/>
        <v>19.887049552423726</v>
      </c>
      <c r="J61" s="101">
        <f t="shared" si="15"/>
        <v>19.887049552423726</v>
      </c>
      <c r="K61" s="42"/>
      <c r="L61" s="92"/>
      <c r="N61" s="36"/>
      <c r="O61" s="36"/>
      <c r="P61" s="36"/>
      <c r="Q61" s="36"/>
    </row>
    <row r="62" spans="1:17" s="93" customFormat="1" ht="16.2" x14ac:dyDescent="0.3">
      <c r="A62" s="97"/>
      <c r="B62" s="98" t="s">
        <v>75</v>
      </c>
      <c r="C62" s="41">
        <f>SUM(C63,C67)</f>
        <v>604776.66836000001</v>
      </c>
      <c r="D62" s="41">
        <f t="shared" ref="D62:E62" si="16">SUM(D63,D67)</f>
        <v>385122.83418000001</v>
      </c>
      <c r="E62" s="41">
        <f t="shared" si="16"/>
        <v>129561</v>
      </c>
      <c r="F62" s="41">
        <f>SUM(F63,F67)</f>
        <v>185125.208789</v>
      </c>
      <c r="G62" s="41">
        <f t="shared" ref="G62:H62" si="17">SUM(G63,G67)</f>
        <v>166774.35878900002</v>
      </c>
      <c r="H62" s="41">
        <f t="shared" si="17"/>
        <v>18350.849999999999</v>
      </c>
      <c r="I62" s="47">
        <f t="shared" si="15"/>
        <v>30.610507725275237</v>
      </c>
      <c r="J62" s="47">
        <f t="shared" si="15"/>
        <v>43.304199073029373</v>
      </c>
      <c r="K62" s="47">
        <f t="shared" si="15"/>
        <v>14.163868756801815</v>
      </c>
      <c r="L62" s="92"/>
      <c r="N62" s="36"/>
      <c r="O62" s="36"/>
      <c r="P62" s="36"/>
      <c r="Q62" s="36"/>
    </row>
    <row r="63" spans="1:17" s="93" customFormat="1" ht="16.2" x14ac:dyDescent="0.3">
      <c r="A63" s="94" t="s">
        <v>60</v>
      </c>
      <c r="B63" s="95" t="s">
        <v>61</v>
      </c>
      <c r="C63" s="91">
        <f>SUM(C64:C66)</f>
        <v>97355</v>
      </c>
      <c r="D63" s="91">
        <f t="shared" ref="D63:E63" si="18">SUM(D64:D66)</f>
        <v>161569</v>
      </c>
      <c r="E63" s="91">
        <f t="shared" si="18"/>
        <v>127642</v>
      </c>
      <c r="F63" s="91">
        <f>SUM(F64:F66)</f>
        <v>141420.78946900001</v>
      </c>
      <c r="G63" s="91">
        <f t="shared" ref="G63:H63" si="19">SUM(G64:G66)</f>
        <v>124988.939469</v>
      </c>
      <c r="H63" s="91">
        <f t="shared" si="19"/>
        <v>16431.849999999999</v>
      </c>
      <c r="I63" s="99">
        <f t="shared" si="15"/>
        <v>145.26299570540806</v>
      </c>
      <c r="J63" s="47">
        <f t="shared" si="15"/>
        <v>77.359480759923002</v>
      </c>
      <c r="K63" s="47">
        <f t="shared" si="15"/>
        <v>12.873388069757603</v>
      </c>
      <c r="L63" s="92"/>
      <c r="N63" s="36"/>
      <c r="O63" s="36"/>
      <c r="P63" s="36"/>
      <c r="Q63" s="36"/>
    </row>
    <row r="64" spans="1:17" s="93" customFormat="1" ht="31.2" x14ac:dyDescent="0.3">
      <c r="A64" s="94"/>
      <c r="B64" s="52" t="s">
        <v>76</v>
      </c>
      <c r="C64" s="53">
        <f>SUM('[2]Bieu 51-ND31'!$C$55)</f>
        <v>500</v>
      </c>
      <c r="D64" s="53">
        <v>91569</v>
      </c>
      <c r="E64" s="53">
        <f>148636-21994</f>
        <v>126642</v>
      </c>
      <c r="F64" s="53">
        <f>SUM('[1]Tinh-ĐT'!D88,'[1]Tinh-ĐT'!D91)/1000000</f>
        <v>91221.635469000001</v>
      </c>
      <c r="G64" s="53">
        <f>SUM('[4]Bieu 51-ND31'!G56)/1000000</f>
        <v>75789.785468999995</v>
      </c>
      <c r="H64" s="53">
        <f>SUM('[4]Bieu 51-ND31'!$H$56,'[4]Bieu 51-ND31'!$H$59)/1000000</f>
        <v>15431.85</v>
      </c>
      <c r="I64" s="56">
        <f t="shared" si="15"/>
        <v>18244.327093800002</v>
      </c>
      <c r="J64" s="56">
        <f t="shared" si="15"/>
        <v>82.767951456278865</v>
      </c>
      <c r="K64" s="56">
        <f t="shared" si="15"/>
        <v>12.185412422419104</v>
      </c>
      <c r="L64" s="92"/>
      <c r="N64" s="36"/>
      <c r="O64" s="36"/>
      <c r="P64" s="36"/>
      <c r="Q64" s="36"/>
    </row>
    <row r="65" spans="1:17" s="93" customFormat="1" ht="16.2" x14ac:dyDescent="0.3">
      <c r="A65" s="94"/>
      <c r="B65" s="52" t="s">
        <v>77</v>
      </c>
      <c r="C65" s="53">
        <f>SUM('[2]Bieu 51-ND31'!$C$56)</f>
        <v>0</v>
      </c>
      <c r="D65" s="53">
        <v>70000</v>
      </c>
      <c r="E65" s="53"/>
      <c r="F65" s="53">
        <f>SUM('[1]Tinh-ĐT'!D89)/1000000</f>
        <v>49199.154000000002</v>
      </c>
      <c r="G65" s="53">
        <f>SUM('[4]Bieu 51-ND31'!$G$57)/1000000</f>
        <v>49199.154000000002</v>
      </c>
      <c r="H65" s="53"/>
      <c r="I65" s="56"/>
      <c r="J65" s="56">
        <f t="shared" si="15"/>
        <v>70.284505714285714</v>
      </c>
      <c r="K65" s="47"/>
      <c r="L65" s="92"/>
      <c r="N65" s="36"/>
      <c r="O65" s="36"/>
      <c r="P65" s="36"/>
      <c r="Q65" s="36"/>
    </row>
    <row r="66" spans="1:17" s="93" customFormat="1" ht="16.2" x14ac:dyDescent="0.3">
      <c r="A66" s="96"/>
      <c r="B66" s="149" t="s">
        <v>78</v>
      </c>
      <c r="C66" s="150">
        <f>SUM('[2]Bieu 51-ND31'!$C$57)</f>
        <v>96855</v>
      </c>
      <c r="D66" s="150"/>
      <c r="E66" s="150">
        <v>1000</v>
      </c>
      <c r="F66" s="150">
        <f>SUM('[1]Tinh-ĐT'!D90)/1000000</f>
        <v>1000</v>
      </c>
      <c r="G66" s="150"/>
      <c r="H66" s="150">
        <f>SUM('[4]Bieu 51-ND31'!$H$58)/1000000</f>
        <v>1000</v>
      </c>
      <c r="I66" s="150">
        <f t="shared" si="15"/>
        <v>1.0324712198647463</v>
      </c>
      <c r="J66" s="74"/>
      <c r="K66" s="150">
        <f t="shared" si="15"/>
        <v>100</v>
      </c>
      <c r="L66" s="92"/>
      <c r="N66" s="36"/>
      <c r="O66" s="36"/>
      <c r="P66" s="36"/>
      <c r="Q66" s="36"/>
    </row>
    <row r="67" spans="1:17" s="93" customFormat="1" ht="16.2" x14ac:dyDescent="0.3">
      <c r="A67" s="97" t="s">
        <v>73</v>
      </c>
      <c r="B67" s="147" t="s">
        <v>74</v>
      </c>
      <c r="C67" s="148">
        <f>SUM(C68:C69)</f>
        <v>507421.66836000001</v>
      </c>
      <c r="D67" s="148">
        <f t="shared" ref="D67:E67" si="20">SUM(D68:D69)</f>
        <v>223553.83418000001</v>
      </c>
      <c r="E67" s="148">
        <f t="shared" si="20"/>
        <v>1919</v>
      </c>
      <c r="F67" s="148">
        <f>SUM(F68:F69)</f>
        <v>43704.419320000001</v>
      </c>
      <c r="G67" s="148">
        <f>SUM(G68:G69)</f>
        <v>41785.419320000001</v>
      </c>
      <c r="H67" s="148">
        <f>SUM(H68:H69)</f>
        <v>1919</v>
      </c>
      <c r="I67" s="99">
        <f t="shared" si="15"/>
        <v>8.6130376460378244</v>
      </c>
      <c r="J67" s="99">
        <f t="shared" si="15"/>
        <v>18.691434872172856</v>
      </c>
      <c r="K67" s="99"/>
      <c r="L67" s="92"/>
      <c r="N67" s="36"/>
      <c r="O67" s="36"/>
      <c r="P67" s="36"/>
      <c r="Q67" s="36"/>
    </row>
    <row r="68" spans="1:17" s="93" customFormat="1" ht="19.8" customHeight="1" x14ac:dyDescent="0.3">
      <c r="A68" s="97"/>
      <c r="B68" s="85" t="s">
        <v>79</v>
      </c>
      <c r="C68" s="64">
        <f>SUM('[2]Bieu 51-ND31'!$C$59)</f>
        <v>289210.83418000001</v>
      </c>
      <c r="D68" s="64">
        <v>7262</v>
      </c>
      <c r="E68" s="64"/>
      <c r="F68" s="64">
        <f>SUM('[1]Tinh-ĐT'!D85)/1000000</f>
        <v>8464.7439570000006</v>
      </c>
      <c r="G68" s="64">
        <f>F68</f>
        <v>8464.7439570000006</v>
      </c>
      <c r="H68" s="64"/>
      <c r="I68" s="56">
        <f t="shared" si="15"/>
        <v>2.9268419286573768</v>
      </c>
      <c r="J68" s="56">
        <f t="shared" si="15"/>
        <v>116.56215859267421</v>
      </c>
      <c r="K68" s="56"/>
      <c r="L68" s="92"/>
      <c r="N68" s="36"/>
      <c r="O68" s="36"/>
      <c r="P68" s="36"/>
      <c r="Q68" s="36"/>
    </row>
    <row r="69" spans="1:17" s="93" customFormat="1" ht="16.2" x14ac:dyDescent="0.3">
      <c r="A69" s="94"/>
      <c r="B69" s="52" t="s">
        <v>80</v>
      </c>
      <c r="C69" s="53">
        <f>SUM('[2]Bieu 51-ND31'!$C$60)</f>
        <v>218210.83418000001</v>
      </c>
      <c r="D69" s="53">
        <f>C69-E69</f>
        <v>216291.83418000001</v>
      </c>
      <c r="E69" s="53">
        <v>1919</v>
      </c>
      <c r="F69" s="53">
        <f>SUM('[2]Tinh-ĐT'!$D$93)/1000000</f>
        <v>35239.675363000002</v>
      </c>
      <c r="G69" s="53">
        <f>F69-H69</f>
        <v>33320.675363000002</v>
      </c>
      <c r="H69" s="53">
        <v>1919</v>
      </c>
      <c r="I69" s="64">
        <f t="shared" si="15"/>
        <v>16.149370170103992</v>
      </c>
      <c r="J69" s="64">
        <f t="shared" si="15"/>
        <v>15.405424568765843</v>
      </c>
      <c r="K69" s="56"/>
      <c r="L69" s="92"/>
      <c r="N69" s="36"/>
      <c r="O69" s="36"/>
      <c r="P69" s="36"/>
      <c r="Q69" s="36"/>
    </row>
    <row r="70" spans="1:17" ht="16.2" x14ac:dyDescent="0.3">
      <c r="A70" s="86">
        <v>2</v>
      </c>
      <c r="B70" s="87" t="s">
        <v>37</v>
      </c>
      <c r="C70" s="88">
        <f>SUM(C72)</f>
        <v>730</v>
      </c>
      <c r="D70" s="88">
        <f>SUM(D72)</f>
        <v>730</v>
      </c>
      <c r="E70" s="88">
        <f>SUM(E72)</f>
        <v>0</v>
      </c>
      <c r="F70" s="102">
        <f>SUM(F72:F73)</f>
        <v>325823.69223199994</v>
      </c>
      <c r="G70" s="102">
        <f t="shared" ref="G70" si="21">SUM(G72:G73)</f>
        <v>252766</v>
      </c>
      <c r="H70" s="102">
        <f>ROUND(SUM(H72:H73),0)</f>
        <v>73058</v>
      </c>
      <c r="I70" s="103"/>
      <c r="J70" s="103"/>
      <c r="K70" s="103"/>
      <c r="L70" s="48"/>
      <c r="N70" s="36"/>
      <c r="O70" s="36"/>
      <c r="P70" s="36"/>
      <c r="Q70" s="36"/>
    </row>
    <row r="71" spans="1:17" ht="16.2" x14ac:dyDescent="0.3">
      <c r="A71" s="86"/>
      <c r="B71" s="104" t="s">
        <v>59</v>
      </c>
      <c r="C71" s="88"/>
      <c r="D71" s="88"/>
      <c r="E71" s="88"/>
      <c r="F71" s="60"/>
      <c r="G71" s="60"/>
      <c r="H71" s="60"/>
      <c r="I71" s="47"/>
      <c r="J71" s="47"/>
      <c r="K71" s="47"/>
      <c r="L71" s="48"/>
      <c r="N71" s="36"/>
      <c r="O71" s="36"/>
      <c r="P71" s="36"/>
      <c r="Q71" s="36"/>
    </row>
    <row r="72" spans="1:17" ht="16.2" x14ac:dyDescent="0.3">
      <c r="A72" s="86"/>
      <c r="B72" s="48" t="s">
        <v>81</v>
      </c>
      <c r="C72" s="105">
        <f>SUM([1]Sheet3!C9)/1000000</f>
        <v>730</v>
      </c>
      <c r="D72" s="105">
        <v>730</v>
      </c>
      <c r="E72" s="105"/>
      <c r="F72" s="54">
        <f>ROUND(SUM([1]TX!O11)/1000000,0)-1</f>
        <v>119</v>
      </c>
      <c r="G72" s="54">
        <f>SUM(F72)</f>
        <v>119</v>
      </c>
      <c r="H72" s="54"/>
      <c r="I72" s="79">
        <f t="shared" ref="I72:K87" si="22">F72/C72*100</f>
        <v>16.301369863013697</v>
      </c>
      <c r="J72" s="79">
        <f t="shared" si="22"/>
        <v>16.301369863013697</v>
      </c>
      <c r="K72" s="42"/>
      <c r="L72" s="48"/>
      <c r="N72" s="36"/>
      <c r="O72" s="36"/>
      <c r="P72" s="36"/>
      <c r="Q72" s="36"/>
    </row>
    <row r="73" spans="1:17" ht="16.2" x14ac:dyDescent="0.3">
      <c r="A73" s="106"/>
      <c r="B73" s="98" t="s">
        <v>75</v>
      </c>
      <c r="C73" s="107">
        <f>SUM(C74:C98)</f>
        <v>286344.84976499999</v>
      </c>
      <c r="D73" s="107">
        <f t="shared" ref="D73:E73" si="23">SUM(D74:D98)</f>
        <v>229571</v>
      </c>
      <c r="E73" s="107">
        <f t="shared" si="23"/>
        <v>56774</v>
      </c>
      <c r="F73" s="107">
        <f>SUM(F74:F99)</f>
        <v>325704.69223199994</v>
      </c>
      <c r="G73" s="107">
        <f>SUM(G74:G99)</f>
        <v>252647</v>
      </c>
      <c r="H73" s="107">
        <f t="shared" ref="H73" si="24">SUM(H74:H99)</f>
        <v>73058</v>
      </c>
      <c r="I73" s="47">
        <f t="shared" si="22"/>
        <v>113.74560866008316</v>
      </c>
      <c r="J73" s="47">
        <f t="shared" si="22"/>
        <v>110.05179225599051</v>
      </c>
      <c r="K73" s="47">
        <f t="shared" si="22"/>
        <v>128.6821432345792</v>
      </c>
      <c r="L73" s="48"/>
      <c r="N73" s="36"/>
      <c r="O73" s="36"/>
      <c r="P73" s="36"/>
      <c r="Q73" s="36"/>
    </row>
    <row r="74" spans="1:17" x14ac:dyDescent="0.3">
      <c r="A74" s="51">
        <v>1</v>
      </c>
      <c r="B74" s="108" t="s">
        <v>82</v>
      </c>
      <c r="C74" s="105">
        <f>SUM([1]TX!I37)</f>
        <v>13200</v>
      </c>
      <c r="D74" s="105">
        <v>9323</v>
      </c>
      <c r="E74" s="105">
        <v>3877</v>
      </c>
      <c r="F74" s="109">
        <f>SUM([1]TX!N37)/1000000</f>
        <v>2615.6412999999998</v>
      </c>
      <c r="G74" s="109">
        <v>2616</v>
      </c>
      <c r="H74" s="109"/>
      <c r="I74" s="56">
        <f t="shared" si="22"/>
        <v>19.81546439393939</v>
      </c>
      <c r="J74" s="56">
        <f t="shared" si="22"/>
        <v>28.059637455754586</v>
      </c>
      <c r="K74" s="79">
        <f t="shared" si="22"/>
        <v>0</v>
      </c>
      <c r="L74" s="52"/>
      <c r="N74" s="36"/>
      <c r="O74" s="36"/>
      <c r="P74" s="36"/>
      <c r="Q74" s="36"/>
    </row>
    <row r="75" spans="1:17" ht="26.4" x14ac:dyDescent="0.3">
      <c r="A75" s="51">
        <v>2</v>
      </c>
      <c r="B75" s="77" t="s">
        <v>83</v>
      </c>
      <c r="C75" s="105">
        <f>SUM([1]TX!I46)</f>
        <v>5672</v>
      </c>
      <c r="D75" s="105">
        <v>5480</v>
      </c>
      <c r="E75" s="105">
        <v>192</v>
      </c>
      <c r="F75" s="109">
        <f>SUM([1]TX!N46,[1]TX!N82)/1000000</f>
        <v>2020.462</v>
      </c>
      <c r="G75" s="109">
        <v>1876</v>
      </c>
      <c r="H75" s="109">
        <v>144</v>
      </c>
      <c r="I75" s="79">
        <f t="shared" si="22"/>
        <v>35.621685472496473</v>
      </c>
      <c r="J75" s="79">
        <f t="shared" si="22"/>
        <v>34.23357664233577</v>
      </c>
      <c r="K75" s="79">
        <f t="shared" si="22"/>
        <v>75</v>
      </c>
      <c r="L75" s="110" t="s">
        <v>84</v>
      </c>
      <c r="N75" s="36"/>
      <c r="O75" s="36"/>
      <c r="P75" s="36"/>
      <c r="Q75" s="36"/>
    </row>
    <row r="76" spans="1:17" x14ac:dyDescent="0.3">
      <c r="A76" s="80">
        <v>3</v>
      </c>
      <c r="B76" s="111" t="s">
        <v>85</v>
      </c>
      <c r="C76" s="112">
        <f>SUM([1]TX!I43)</f>
        <v>1283</v>
      </c>
      <c r="D76" s="112">
        <v>1283</v>
      </c>
      <c r="E76" s="112"/>
      <c r="F76" s="113">
        <f>SUM([1]TX!N43)/1000000</f>
        <v>23.3</v>
      </c>
      <c r="G76" s="113">
        <v>23</v>
      </c>
      <c r="H76" s="113"/>
      <c r="I76" s="56">
        <f t="shared" si="22"/>
        <v>1.8160561184723305</v>
      </c>
      <c r="J76" s="56">
        <f t="shared" si="22"/>
        <v>1.7926734216679656</v>
      </c>
      <c r="K76" s="56"/>
      <c r="L76" s="85"/>
      <c r="N76" s="36"/>
      <c r="O76" s="36"/>
      <c r="P76" s="36"/>
      <c r="Q76" s="36"/>
    </row>
    <row r="77" spans="1:17" s="116" customFormat="1" ht="26.4" x14ac:dyDescent="0.3">
      <c r="A77" s="51">
        <v>4</v>
      </c>
      <c r="B77" s="114" t="s">
        <v>86</v>
      </c>
      <c r="C77" s="105">
        <f>SUM([1]TX!I44)</f>
        <v>12239</v>
      </c>
      <c r="D77" s="105">
        <v>12239</v>
      </c>
      <c r="E77" s="105"/>
      <c r="F77" s="105">
        <f>SUM([1]TX!N44)/1000000</f>
        <v>2835.6149999999998</v>
      </c>
      <c r="G77" s="105">
        <v>2836</v>
      </c>
      <c r="H77" s="105"/>
      <c r="I77" s="56">
        <f t="shared" si="22"/>
        <v>23.168682081869431</v>
      </c>
      <c r="J77" s="56">
        <f t="shared" si="22"/>
        <v>23.171827763706183</v>
      </c>
      <c r="K77" s="56"/>
      <c r="L77" s="115" t="s">
        <v>87</v>
      </c>
      <c r="N77" s="36"/>
      <c r="O77" s="36"/>
      <c r="P77" s="36"/>
      <c r="Q77" s="36"/>
    </row>
    <row r="78" spans="1:17" s="116" customFormat="1" x14ac:dyDescent="0.3">
      <c r="A78" s="51">
        <v>5</v>
      </c>
      <c r="B78" s="77" t="s">
        <v>88</v>
      </c>
      <c r="C78" s="105">
        <f>SUM([1]TX!I48)</f>
        <v>1317</v>
      </c>
      <c r="D78" s="105">
        <v>1317</v>
      </c>
      <c r="E78" s="105"/>
      <c r="F78" s="77"/>
      <c r="G78" s="117"/>
      <c r="H78" s="117"/>
      <c r="I78" s="56"/>
      <c r="J78" s="56"/>
      <c r="K78" s="56"/>
      <c r="L78" s="77"/>
      <c r="N78" s="36"/>
      <c r="O78" s="36"/>
      <c r="P78" s="36"/>
      <c r="Q78" s="36"/>
    </row>
    <row r="79" spans="1:17" s="116" customFormat="1" ht="31.2" x14ac:dyDescent="0.3">
      <c r="A79" s="51">
        <v>6</v>
      </c>
      <c r="B79" s="52" t="s">
        <v>89</v>
      </c>
      <c r="C79" s="105">
        <f>SUM([1]TX!I14)</f>
        <v>2250</v>
      </c>
      <c r="D79" s="105">
        <v>2250</v>
      </c>
      <c r="E79" s="105"/>
      <c r="F79" s="105">
        <f>SUM([1]TX!N14)/1000000</f>
        <v>2318.218965</v>
      </c>
      <c r="G79" s="105">
        <v>2318</v>
      </c>
      <c r="H79" s="105"/>
      <c r="I79" s="56">
        <f t="shared" si="22"/>
        <v>103.031954</v>
      </c>
      <c r="J79" s="56">
        <f t="shared" si="22"/>
        <v>103.02222222222221</v>
      </c>
      <c r="K79" s="56"/>
      <c r="L79" s="115" t="s">
        <v>90</v>
      </c>
      <c r="N79" s="36"/>
      <c r="O79" s="36"/>
      <c r="P79" s="36"/>
      <c r="Q79" s="36"/>
    </row>
    <row r="80" spans="1:17" s="116" customFormat="1" x14ac:dyDescent="0.3">
      <c r="A80" s="51">
        <v>7</v>
      </c>
      <c r="B80" s="52" t="s">
        <v>91</v>
      </c>
      <c r="C80" s="105">
        <f>SUM([1]TX!I38)</f>
        <v>20251</v>
      </c>
      <c r="D80" s="105">
        <v>20251</v>
      </c>
      <c r="E80" s="105"/>
      <c r="F80" s="105">
        <f>SUM([1]TX!N38)/1000000</f>
        <v>16109.817999999999</v>
      </c>
      <c r="G80" s="105">
        <v>16110</v>
      </c>
      <c r="H80" s="105"/>
      <c r="I80" s="56">
        <f t="shared" si="22"/>
        <v>79.55072835909337</v>
      </c>
      <c r="J80" s="56">
        <f t="shared" si="22"/>
        <v>79.5516270801442</v>
      </c>
      <c r="K80" s="56"/>
      <c r="L80" s="77"/>
      <c r="N80" s="36"/>
      <c r="O80" s="36"/>
      <c r="P80" s="36"/>
      <c r="Q80" s="36"/>
    </row>
    <row r="81" spans="1:17" ht="31.2" x14ac:dyDescent="0.3">
      <c r="A81" s="51">
        <v>8</v>
      </c>
      <c r="B81" s="108" t="s">
        <v>92</v>
      </c>
      <c r="C81" s="59"/>
      <c r="D81" s="59"/>
      <c r="E81" s="59"/>
      <c r="F81" s="54">
        <f>SUM([1]TX!N72)/1000000</f>
        <v>15154.967000000001</v>
      </c>
      <c r="G81" s="54"/>
      <c r="H81" s="54">
        <v>15155</v>
      </c>
      <c r="I81" s="56"/>
      <c r="J81" s="56"/>
      <c r="K81" s="56"/>
      <c r="L81" s="115" t="s">
        <v>93</v>
      </c>
      <c r="N81" s="36"/>
      <c r="O81" s="36"/>
      <c r="P81" s="36"/>
      <c r="Q81" s="36"/>
    </row>
    <row r="82" spans="1:17" ht="26.4" x14ac:dyDescent="0.3">
      <c r="A82" s="51">
        <v>9</v>
      </c>
      <c r="B82" s="108" t="s">
        <v>94</v>
      </c>
      <c r="C82" s="59"/>
      <c r="D82" s="59"/>
      <c r="E82" s="59"/>
      <c r="F82" s="54">
        <f>SUM([1]TX!N87)/1000000</f>
        <v>495</v>
      </c>
      <c r="G82" s="54"/>
      <c r="H82" s="54">
        <v>495</v>
      </c>
      <c r="I82" s="56"/>
      <c r="J82" s="56"/>
      <c r="K82" s="56"/>
      <c r="L82" s="115" t="s">
        <v>95</v>
      </c>
      <c r="N82" s="36"/>
      <c r="O82" s="36"/>
      <c r="P82" s="36"/>
      <c r="Q82" s="36"/>
    </row>
    <row r="83" spans="1:17" ht="31.2" x14ac:dyDescent="0.3">
      <c r="A83" s="51">
        <v>10</v>
      </c>
      <c r="B83" s="108" t="s">
        <v>96</v>
      </c>
      <c r="C83" s="53">
        <f>SUM([1]TX!I17)</f>
        <v>14494.0124</v>
      </c>
      <c r="D83" s="53">
        <v>10406</v>
      </c>
      <c r="E83" s="53">
        <v>4088</v>
      </c>
      <c r="F83" s="118">
        <f>SUM([1]TX!N17)/1000000</f>
        <v>10827.9283</v>
      </c>
      <c r="G83" s="118">
        <v>6740</v>
      </c>
      <c r="H83" s="118">
        <v>4088</v>
      </c>
      <c r="I83" s="56">
        <f t="shared" si="22"/>
        <v>74.706216616732021</v>
      </c>
      <c r="J83" s="56">
        <f t="shared" si="22"/>
        <v>64.770324812608109</v>
      </c>
      <c r="K83" s="64">
        <f t="shared" si="22"/>
        <v>100</v>
      </c>
      <c r="L83" s="48"/>
      <c r="N83" s="36"/>
      <c r="O83" s="36"/>
      <c r="P83" s="36"/>
      <c r="Q83" s="36"/>
    </row>
    <row r="84" spans="1:17" s="116" customFormat="1" ht="31.2" x14ac:dyDescent="0.3">
      <c r="A84" s="51">
        <v>11</v>
      </c>
      <c r="B84" s="108" t="s">
        <v>97</v>
      </c>
      <c r="C84" s="78">
        <f>SUM([1]TX!I13)</f>
        <v>3104</v>
      </c>
      <c r="D84" s="78">
        <v>3104</v>
      </c>
      <c r="E84" s="78"/>
      <c r="F84" s="118">
        <f>SUM([1]TX!N13)/1000000</f>
        <v>3104</v>
      </c>
      <c r="G84" s="118">
        <v>3104</v>
      </c>
      <c r="H84" s="118"/>
      <c r="I84" s="64">
        <f t="shared" si="22"/>
        <v>100</v>
      </c>
      <c r="J84" s="64">
        <f t="shared" si="22"/>
        <v>100</v>
      </c>
      <c r="K84" s="56"/>
      <c r="L84" s="119"/>
      <c r="N84" s="36"/>
      <c r="O84" s="36"/>
      <c r="P84" s="36"/>
      <c r="Q84" s="36"/>
    </row>
    <row r="85" spans="1:17" s="116" customFormat="1" ht="31.2" x14ac:dyDescent="0.3">
      <c r="A85" s="51">
        <v>12</v>
      </c>
      <c r="B85" s="77" t="s">
        <v>98</v>
      </c>
      <c r="C85" s="78">
        <f>SUM([1]TX!I27)</f>
        <v>1344</v>
      </c>
      <c r="D85" s="78">
        <v>1344</v>
      </c>
      <c r="E85" s="78"/>
      <c r="F85" s="118">
        <f>SUM([1]TX!N27)/1000000</f>
        <v>1789.242</v>
      </c>
      <c r="G85" s="118">
        <v>1789</v>
      </c>
      <c r="H85" s="118"/>
      <c r="I85" s="79">
        <f t="shared" si="22"/>
        <v>133.12812500000001</v>
      </c>
      <c r="J85" s="79">
        <f t="shared" si="22"/>
        <v>133.11011904761904</v>
      </c>
      <c r="K85" s="79"/>
      <c r="L85" s="115" t="s">
        <v>99</v>
      </c>
      <c r="N85" s="36"/>
      <c r="O85" s="36"/>
      <c r="P85" s="36"/>
      <c r="Q85" s="36"/>
    </row>
    <row r="86" spans="1:17" s="116" customFormat="1" ht="26.4" x14ac:dyDescent="0.3">
      <c r="A86" s="80">
        <v>13</v>
      </c>
      <c r="B86" s="123" t="s">
        <v>100</v>
      </c>
      <c r="C86" s="82">
        <f>SUM([1]TX!I26)</f>
        <v>1200</v>
      </c>
      <c r="D86" s="82">
        <v>1200</v>
      </c>
      <c r="E86" s="82"/>
      <c r="F86" s="124">
        <f>SUM([1]TX!N26)/1000000</f>
        <v>495</v>
      </c>
      <c r="G86" s="124">
        <v>495</v>
      </c>
      <c r="H86" s="124"/>
      <c r="I86" s="56">
        <f t="shared" si="22"/>
        <v>41.25</v>
      </c>
      <c r="J86" s="56">
        <f t="shared" si="22"/>
        <v>41.25</v>
      </c>
      <c r="K86" s="56"/>
      <c r="L86" s="115" t="s">
        <v>101</v>
      </c>
      <c r="N86" s="36"/>
      <c r="O86" s="36"/>
      <c r="P86" s="36"/>
      <c r="Q86" s="36"/>
    </row>
    <row r="87" spans="1:17" s="116" customFormat="1" ht="31.2" x14ac:dyDescent="0.3">
      <c r="A87" s="51">
        <v>14</v>
      </c>
      <c r="B87" s="108" t="s">
        <v>102</v>
      </c>
      <c r="C87" s="78">
        <f>SUM([1]TX!I28)</f>
        <v>1289</v>
      </c>
      <c r="D87" s="78">
        <v>1289</v>
      </c>
      <c r="E87" s="78"/>
      <c r="F87" s="118">
        <f>SUM([1]TX!N28)/1000000</f>
        <v>2201.4680950000002</v>
      </c>
      <c r="G87" s="118">
        <v>2201</v>
      </c>
      <c r="H87" s="118"/>
      <c r="I87" s="56">
        <f t="shared" si="22"/>
        <v>170.78883591931731</v>
      </c>
      <c r="J87" s="56">
        <f t="shared" si="22"/>
        <v>170.75252133436774</v>
      </c>
      <c r="K87" s="56"/>
      <c r="L87" s="115" t="s">
        <v>103</v>
      </c>
      <c r="N87" s="36"/>
      <c r="O87" s="36"/>
      <c r="P87" s="36"/>
      <c r="Q87" s="36"/>
    </row>
    <row r="88" spans="1:17" s="116" customFormat="1" x14ac:dyDescent="0.3">
      <c r="A88" s="51">
        <v>15</v>
      </c>
      <c r="B88" s="125" t="s">
        <v>104</v>
      </c>
      <c r="C88" s="78">
        <f>SUM([1]TX!I39)</f>
        <v>635</v>
      </c>
      <c r="D88" s="78">
        <v>635</v>
      </c>
      <c r="E88" s="78"/>
      <c r="F88" s="126">
        <f>SUM([1]TX!N39)/1000000</f>
        <v>600</v>
      </c>
      <c r="G88" s="127">
        <v>600</v>
      </c>
      <c r="H88" s="127"/>
      <c r="I88" s="56">
        <f t="shared" ref="I88:J96" si="25">F88/C88*100</f>
        <v>94.488188976377955</v>
      </c>
      <c r="J88" s="56">
        <f t="shared" si="25"/>
        <v>94.488188976377955</v>
      </c>
      <c r="K88" s="56"/>
      <c r="L88" s="119"/>
      <c r="N88" s="36"/>
      <c r="O88" s="36"/>
      <c r="P88" s="36"/>
      <c r="Q88" s="36"/>
    </row>
    <row r="89" spans="1:17" s="116" customFormat="1" ht="31.2" x14ac:dyDescent="0.3">
      <c r="A89" s="120">
        <v>16</v>
      </c>
      <c r="B89" s="151" t="s">
        <v>105</v>
      </c>
      <c r="C89" s="121">
        <f>SUM([1]TX!I35)</f>
        <v>1382</v>
      </c>
      <c r="D89" s="121">
        <v>1382</v>
      </c>
      <c r="E89" s="121"/>
      <c r="F89" s="121">
        <f>SUM([1]TX!N35)/1000000</f>
        <v>1382</v>
      </c>
      <c r="G89" s="152">
        <v>1382</v>
      </c>
      <c r="H89" s="152"/>
      <c r="I89" s="150">
        <f t="shared" si="25"/>
        <v>100</v>
      </c>
      <c r="J89" s="150">
        <f t="shared" si="25"/>
        <v>100</v>
      </c>
      <c r="K89" s="122"/>
      <c r="L89" s="119"/>
      <c r="N89" s="36"/>
      <c r="O89" s="36"/>
      <c r="P89" s="36"/>
      <c r="Q89" s="36"/>
    </row>
    <row r="90" spans="1:17" s="116" customFormat="1" ht="46.8" x14ac:dyDescent="0.3">
      <c r="A90" s="80">
        <v>17</v>
      </c>
      <c r="B90" s="123" t="s">
        <v>106</v>
      </c>
      <c r="C90" s="82"/>
      <c r="D90" s="82"/>
      <c r="E90" s="82"/>
      <c r="F90" s="82">
        <f>SUM([1]TX!N74)/1000000</f>
        <v>194</v>
      </c>
      <c r="G90" s="82">
        <v>194</v>
      </c>
      <c r="H90" s="82"/>
      <c r="I90" s="56"/>
      <c r="J90" s="56"/>
      <c r="K90" s="56"/>
      <c r="L90" s="115" t="s">
        <v>107</v>
      </c>
      <c r="N90" s="36"/>
      <c r="O90" s="36"/>
      <c r="P90" s="36"/>
      <c r="Q90" s="36"/>
    </row>
    <row r="91" spans="1:17" s="116" customFormat="1" x14ac:dyDescent="0.3">
      <c r="A91" s="51">
        <v>18</v>
      </c>
      <c r="B91" s="108" t="s">
        <v>108</v>
      </c>
      <c r="C91" s="78">
        <f>SUM([1]TX!I36)</f>
        <v>10100.083365</v>
      </c>
      <c r="D91" s="78">
        <v>10100</v>
      </c>
      <c r="E91" s="78"/>
      <c r="F91" s="78">
        <f>SUM([1]TX!N36)/1000000</f>
        <v>10100.083365</v>
      </c>
      <c r="G91" s="78">
        <v>10100</v>
      </c>
      <c r="H91" s="78"/>
      <c r="I91" s="64">
        <f t="shared" si="25"/>
        <v>100</v>
      </c>
      <c r="J91" s="64">
        <f t="shared" si="25"/>
        <v>100</v>
      </c>
      <c r="K91" s="56"/>
      <c r="L91" s="119"/>
      <c r="N91" s="36"/>
      <c r="O91" s="36"/>
      <c r="P91" s="36"/>
      <c r="Q91" s="36"/>
    </row>
    <row r="92" spans="1:17" s="116" customFormat="1" ht="26.4" x14ac:dyDescent="0.3">
      <c r="A92" s="51">
        <v>19</v>
      </c>
      <c r="B92" s="128" t="s">
        <v>109</v>
      </c>
      <c r="C92" s="78">
        <f>SUM([1]TX!I34)</f>
        <v>142735</v>
      </c>
      <c r="D92" s="78">
        <v>142735</v>
      </c>
      <c r="E92" s="78"/>
      <c r="F92" s="78">
        <f>SUM([1]TX!O34)/1000000</f>
        <v>188724.57699999999</v>
      </c>
      <c r="G92" s="78">
        <v>188725</v>
      </c>
      <c r="H92" s="78"/>
      <c r="I92" s="56">
        <f t="shared" si="25"/>
        <v>132.22025221564436</v>
      </c>
      <c r="J92" s="56">
        <f t="shared" si="25"/>
        <v>132.2205485690265</v>
      </c>
      <c r="K92" s="56"/>
      <c r="L92" s="115" t="s">
        <v>110</v>
      </c>
      <c r="N92" s="36"/>
      <c r="O92" s="36"/>
      <c r="P92" s="36"/>
      <c r="Q92" s="36"/>
    </row>
    <row r="93" spans="1:17" x14ac:dyDescent="0.3">
      <c r="A93" s="51">
        <v>20</v>
      </c>
      <c r="B93" s="77" t="s">
        <v>111</v>
      </c>
      <c r="C93" s="53">
        <f>SUM([1]TX!I32)</f>
        <v>199.75399999999999</v>
      </c>
      <c r="D93" s="53"/>
      <c r="E93" s="53">
        <v>200</v>
      </c>
      <c r="F93" s="78">
        <f>SUM([1]TX!N32)/1000000</f>
        <v>199.75399999999999</v>
      </c>
      <c r="G93" s="78"/>
      <c r="H93" s="78">
        <v>200</v>
      </c>
      <c r="I93" s="53">
        <f t="shared" si="25"/>
        <v>100</v>
      </c>
      <c r="J93" s="53"/>
      <c r="K93" s="53">
        <f t="shared" ref="K93:K96" si="26">H93/E93*100</f>
        <v>100</v>
      </c>
      <c r="L93" s="48"/>
      <c r="N93" s="36"/>
      <c r="O93" s="36"/>
      <c r="P93" s="36"/>
      <c r="Q93" s="36"/>
    </row>
    <row r="94" spans="1:17" x14ac:dyDescent="0.3">
      <c r="A94" s="80">
        <v>21</v>
      </c>
      <c r="B94" s="123" t="s">
        <v>112</v>
      </c>
      <c r="C94" s="64">
        <f>SUM([1]TX!I33)</f>
        <v>13350</v>
      </c>
      <c r="D94" s="64"/>
      <c r="E94" s="64">
        <v>13350</v>
      </c>
      <c r="F94" s="82">
        <f>SUM([1]TX!N33)/1000000</f>
        <v>13074.603999999999</v>
      </c>
      <c r="G94" s="82"/>
      <c r="H94" s="82">
        <v>13075</v>
      </c>
      <c r="I94" s="56">
        <f t="shared" si="25"/>
        <v>97.937108614232201</v>
      </c>
      <c r="J94" s="56"/>
      <c r="K94" s="56">
        <f t="shared" si="26"/>
        <v>97.94007490636703</v>
      </c>
      <c r="L94" s="48"/>
      <c r="N94" s="36"/>
      <c r="O94" s="36"/>
      <c r="P94" s="36"/>
      <c r="Q94" s="36"/>
    </row>
    <row r="95" spans="1:17" ht="31.2" x14ac:dyDescent="0.3">
      <c r="A95" s="51">
        <v>22</v>
      </c>
      <c r="B95" s="108" t="s">
        <v>113</v>
      </c>
      <c r="C95" s="59"/>
      <c r="D95" s="59"/>
      <c r="E95" s="59"/>
      <c r="F95" s="78">
        <f>SUM([1]TX!N70)/1000000</f>
        <v>560</v>
      </c>
      <c r="G95" s="78"/>
      <c r="H95" s="78">
        <v>560</v>
      </c>
      <c r="I95" s="56"/>
      <c r="J95" s="56"/>
      <c r="K95" s="56"/>
      <c r="L95" s="115" t="s">
        <v>114</v>
      </c>
      <c r="N95" s="36"/>
      <c r="O95" s="36"/>
      <c r="P95" s="36"/>
      <c r="Q95" s="36"/>
    </row>
    <row r="96" spans="1:17" ht="26.4" x14ac:dyDescent="0.3">
      <c r="A96" s="51">
        <v>23</v>
      </c>
      <c r="B96" s="77" t="s">
        <v>115</v>
      </c>
      <c r="C96" s="53">
        <f>SUM([1]TX!I23)</f>
        <v>40000</v>
      </c>
      <c r="D96" s="53">
        <v>4933</v>
      </c>
      <c r="E96" s="53">
        <v>35067</v>
      </c>
      <c r="F96" s="78">
        <f>SUM([1]TX!N23)/1000000</f>
        <v>43748.350406999998</v>
      </c>
      <c r="G96" s="78">
        <v>4493</v>
      </c>
      <c r="H96" s="78">
        <v>39255</v>
      </c>
      <c r="I96" s="79">
        <f t="shared" si="25"/>
        <v>109.3708760175</v>
      </c>
      <c r="J96" s="79">
        <f t="shared" si="25"/>
        <v>91.080478410703421</v>
      </c>
      <c r="K96" s="79">
        <f t="shared" si="26"/>
        <v>111.94285225425614</v>
      </c>
      <c r="L96" s="110" t="s">
        <v>116</v>
      </c>
      <c r="N96" s="36"/>
      <c r="O96" s="36"/>
      <c r="P96" s="36"/>
      <c r="Q96" s="36"/>
    </row>
    <row r="97" spans="1:17" ht="31.2" x14ac:dyDescent="0.3">
      <c r="A97" s="80">
        <v>24</v>
      </c>
      <c r="B97" s="129" t="s">
        <v>117</v>
      </c>
      <c r="C97" s="64">
        <f>SUM([1]TX!I47)</f>
        <v>300</v>
      </c>
      <c r="D97" s="64">
        <v>300</v>
      </c>
      <c r="E97" s="64"/>
      <c r="F97" s="82"/>
      <c r="G97" s="82"/>
      <c r="H97" s="82"/>
      <c r="I97" s="56"/>
      <c r="J97" s="56"/>
      <c r="K97" s="56"/>
      <c r="L97" s="130"/>
      <c r="N97" s="36"/>
      <c r="O97" s="36"/>
      <c r="P97" s="36"/>
      <c r="Q97" s="36"/>
    </row>
    <row r="98" spans="1:17" ht="31.2" x14ac:dyDescent="0.3">
      <c r="A98" s="51">
        <v>25</v>
      </c>
      <c r="B98" s="108" t="s">
        <v>118</v>
      </c>
      <c r="C98" s="59"/>
      <c r="D98" s="59"/>
      <c r="E98" s="59"/>
      <c r="F98" s="78">
        <f>SUM([1]TX!N71)/1000000-1</f>
        <v>6604.6628000000001</v>
      </c>
      <c r="G98" s="78">
        <v>6519</v>
      </c>
      <c r="H98" s="78">
        <v>86</v>
      </c>
      <c r="I98" s="56"/>
      <c r="J98" s="56"/>
      <c r="K98" s="56"/>
      <c r="L98" s="115" t="s">
        <v>119</v>
      </c>
      <c r="N98" s="36"/>
      <c r="O98" s="36"/>
      <c r="P98" s="36"/>
      <c r="Q98" s="36"/>
    </row>
    <row r="99" spans="1:17" ht="26.4" x14ac:dyDescent="0.3">
      <c r="A99" s="51">
        <v>26</v>
      </c>
      <c r="B99" s="131" t="s">
        <v>120</v>
      </c>
      <c r="C99" s="59"/>
      <c r="D99" s="59"/>
      <c r="E99" s="59"/>
      <c r="F99" s="78">
        <v>526</v>
      </c>
      <c r="G99" s="78">
        <v>526</v>
      </c>
      <c r="H99" s="78"/>
      <c r="I99" s="56"/>
      <c r="J99" s="56"/>
      <c r="K99" s="56"/>
      <c r="L99" s="115" t="s">
        <v>121</v>
      </c>
      <c r="N99" s="36"/>
      <c r="O99" s="36"/>
      <c r="P99" s="36"/>
      <c r="Q99" s="36"/>
    </row>
    <row r="100" spans="1:17" x14ac:dyDescent="0.3">
      <c r="A100" s="132" t="s">
        <v>122</v>
      </c>
      <c r="B100" s="133" t="s">
        <v>123</v>
      </c>
      <c r="C100" s="134"/>
      <c r="D100" s="134"/>
      <c r="E100" s="134"/>
      <c r="F100" s="135">
        <f>SUM('[2]Tinh-ĐT'!$D$125)/1000000</f>
        <v>2158374.7328400002</v>
      </c>
      <c r="G100" s="135">
        <v>1555020</v>
      </c>
      <c r="H100" s="135">
        <v>603355</v>
      </c>
      <c r="I100" s="136"/>
      <c r="J100" s="136"/>
      <c r="K100" s="136"/>
      <c r="L100" s="83"/>
      <c r="N100" s="36"/>
      <c r="O100" s="36"/>
      <c r="P100" s="36"/>
      <c r="Q100" s="36"/>
    </row>
    <row r="101" spans="1:17" x14ac:dyDescent="0.3">
      <c r="A101" s="137" t="s">
        <v>124</v>
      </c>
      <c r="B101" s="71" t="s">
        <v>125</v>
      </c>
      <c r="C101" s="138"/>
      <c r="D101" s="138"/>
      <c r="E101" s="138"/>
      <c r="F101" s="73">
        <f>SUM(G101:H101)</f>
        <v>61647</v>
      </c>
      <c r="G101" s="73">
        <v>61647</v>
      </c>
      <c r="H101" s="73"/>
      <c r="I101" s="120"/>
      <c r="J101" s="120"/>
      <c r="K101" s="120"/>
      <c r="L101" s="84"/>
      <c r="N101" s="36"/>
      <c r="O101" s="36"/>
      <c r="P101" s="36"/>
      <c r="Q101" s="36"/>
    </row>
    <row r="102" spans="1:17" x14ac:dyDescent="0.3">
      <c r="A102" s="139"/>
    </row>
    <row r="103" spans="1:17" ht="16.2" x14ac:dyDescent="0.35">
      <c r="B103" s="3" t="s">
        <v>126</v>
      </c>
      <c r="I103" s="140"/>
      <c r="J103" s="140"/>
      <c r="K103" s="140"/>
    </row>
    <row r="104" spans="1:17" x14ac:dyDescent="0.3">
      <c r="A104" s="3" t="s">
        <v>127</v>
      </c>
      <c r="B104" s="141"/>
      <c r="I104" s="141"/>
      <c r="J104" s="141"/>
      <c r="K104" s="141"/>
    </row>
  </sheetData>
  <mergeCells count="16">
    <mergeCell ref="L9:L10"/>
    <mergeCell ref="A2:B2"/>
    <mergeCell ref="J2:K2"/>
    <mergeCell ref="J8:K8"/>
    <mergeCell ref="A9:A10"/>
    <mergeCell ref="B9:B10"/>
    <mergeCell ref="C9:C10"/>
    <mergeCell ref="D9:E9"/>
    <mergeCell ref="F9:F10"/>
    <mergeCell ref="G9:H9"/>
    <mergeCell ref="I9:K9"/>
    <mergeCell ref="A1:H1"/>
    <mergeCell ref="I1:K1"/>
    <mergeCell ref="A4:K4"/>
    <mergeCell ref="A5:K5"/>
    <mergeCell ref="A6:K6"/>
  </mergeCells>
  <printOptions horizontalCentered="1"/>
  <pageMargins left="0" right="0" top="0.55118110236220474" bottom="0.35433070866141736"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1E322E-35F6-4C0F-849E-B7818AF403F3}"/>
</file>

<file path=customXml/itemProps2.xml><?xml version="1.0" encoding="utf-8"?>
<ds:datastoreItem xmlns:ds="http://schemas.openxmlformats.org/officeDocument/2006/customXml" ds:itemID="{7EB6319C-02AB-45C2-B4C9-EFCFFB7A7718}"/>
</file>

<file path=customXml/itemProps3.xml><?xml version="1.0" encoding="utf-8"?>
<ds:datastoreItem xmlns:ds="http://schemas.openxmlformats.org/officeDocument/2006/customXml" ds:itemID="{D1DF6D3F-BE33-42DA-B84E-CF9746F749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Hong Tam</dc:creator>
  <cp:lastModifiedBy>Pham Thi Hong Tam</cp:lastModifiedBy>
  <cp:lastPrinted>2020-01-06T09:34:50Z</cp:lastPrinted>
  <dcterms:created xsi:type="dcterms:W3CDTF">2020-01-06T09:31:23Z</dcterms:created>
  <dcterms:modified xsi:type="dcterms:W3CDTF">2020-01-06T09:36:49Z</dcterms:modified>
</cp:coreProperties>
</file>