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7\"/>
    </mc:Choice>
  </mc:AlternateContent>
  <bookViews>
    <workbookView xWindow="0" yWindow="0" windowWidth="20490" windowHeight="7665" tabRatio="980" firstSheet="4" activeTab="4"/>
  </bookViews>
  <sheets>
    <sheet name="BIEU 64-NĐ31_HCSN" sheetId="34" state="hidden" r:id="rId1"/>
    <sheet name="63-NDD31_TCDN" sheetId="33" state="hidden" r:id="rId2"/>
    <sheet name=" 62_NĐ31_" sheetId="32" state="hidden" r:id="rId3"/>
    <sheet name="60_NĐ31 Thu(Huyen, xa)" sheetId="36" state="hidden" r:id="rId4"/>
    <sheet name="67" sheetId="23" r:id="rId5"/>
    <sheet name="57_NĐ31" sheetId="21" state="hidden" r:id="rId6"/>
    <sheet name="56_NĐ31" sheetId="20" state="hidden" r:id="rId7"/>
    <sheet name="Bieu mau 55-NĐ31" sheetId="31" state="hidden"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5" localSheetId="7">'Bieu mau 55-NĐ31'!$A$1</definedName>
    <definedName name="chuong_phuluc_55_name" localSheetId="7">'Bieu mau 55-NĐ31'!$A$4</definedName>
    <definedName name="chuong_phuluc_56" localSheetId="6">'56_NĐ31'!$N$1</definedName>
    <definedName name="chuong_phuluc_56_name" localSheetId="6">'56_NĐ31'!$A$4</definedName>
    <definedName name="chuong_phuluc_57" localSheetId="5">'57_NĐ31'!$H$1</definedName>
    <definedName name="chuong_phuluc_57_name" localSheetId="5">'57_NĐ31'!$A$4</definedName>
    <definedName name="chuong_phuluc_59_name" localSheetId="4">'67'!$A$3</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6">'56_NĐ31'!$9:$11</definedName>
    <definedName name="_xlnm.Print_Titles" localSheetId="5">'57_NĐ31'!$7:$10</definedName>
    <definedName name="_xlnm.Print_Titles" localSheetId="1">'63-NDD31_TCDN'!$6:$9</definedName>
    <definedName name="_xlnm.Print_Titles" localSheetId="4">'67'!$6:$10</definedName>
    <definedName name="_xlnm.Print_Titles" localSheetId="0">'BIEU 64-NĐ31_HCSN'!$7:$8</definedName>
    <definedName name="_xlnm.Print_Titles" localSheetId="7">'Bieu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12" i="20" s="1"/>
  <c r="P34" i="20"/>
  <c r="C32" i="13" l="1"/>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2" i="33"/>
  <c r="K12" i="33"/>
  <c r="F12" i="33"/>
  <c r="D12" i="33"/>
  <c r="G12" i="33" s="1"/>
  <c r="J11" i="33"/>
  <c r="L11" i="33" s="1"/>
  <c r="G11" i="33"/>
  <c r="I10" i="33"/>
  <c r="F10" i="33"/>
  <c r="E10" i="33"/>
  <c r="L13" i="33" l="1"/>
  <c r="J10" i="33"/>
  <c r="K11" i="33"/>
  <c r="K10" i="33" s="1"/>
  <c r="K13" i="33"/>
  <c r="K18" i="33"/>
  <c r="G10" i="33"/>
  <c r="D10" i="33"/>
  <c r="H10" i="33"/>
  <c r="C10" i="33"/>
  <c r="L14" i="33"/>
  <c r="L10" i="33" s="1"/>
  <c r="M9" i="33" l="1"/>
  <c r="D34" i="13"/>
  <c r="F34" i="13"/>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I10" i="31" s="1"/>
  <c r="D44" i="31"/>
  <c r="C44" i="31"/>
  <c r="N40" i="31"/>
  <c r="D40" i="31"/>
  <c r="C40" i="31"/>
  <c r="P33" i="31"/>
  <c r="N33" i="31"/>
  <c r="D33" i="31"/>
  <c r="C33" i="31"/>
  <c r="P29" i="31"/>
  <c r="N29" i="31"/>
  <c r="D29" i="31"/>
  <c r="C29" i="31"/>
  <c r="P27" i="31"/>
  <c r="N27" i="31"/>
  <c r="D27" i="31"/>
  <c r="C27" i="31"/>
  <c r="C26" i="31"/>
  <c r="T26" i="31" s="1"/>
  <c r="C25" i="31"/>
  <c r="T25" i="31" s="1"/>
  <c r="P24" i="31"/>
  <c r="P10" i="31" s="1"/>
  <c r="N24" i="31"/>
  <c r="D24" i="31"/>
  <c r="C24" i="31"/>
  <c r="D12" i="31"/>
  <c r="C12" i="31"/>
  <c r="D11" i="31"/>
  <c r="C11" i="31"/>
  <c r="C10" i="31" l="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20" i="32" s="1"/>
  <c r="AH486" i="32"/>
  <c r="AH17" i="32"/>
  <c r="AD103" i="32"/>
  <c r="X146" i="32"/>
  <c r="AH146" i="32" s="1"/>
  <c r="AE179" i="32"/>
  <c r="P12"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<sst xmlns="http://schemas.openxmlformats.org/spreadsheetml/2006/main" count="2860" uniqueCount="1521">
  <si>
    <t>Tổng số</t>
  </si>
  <si>
    <t>STT</t>
  </si>
  <si>
    <t>Nội dung</t>
  </si>
  <si>
    <t>A</t>
  </si>
  <si>
    <t>B</t>
  </si>
  <si>
    <t>II</t>
  </si>
  <si>
    <t>III</t>
  </si>
  <si>
    <t>IV</t>
  </si>
  <si>
    <t>I</t>
  </si>
  <si>
    <t>C</t>
  </si>
  <si>
    <t>Thu bổ sung từ ngân sách cấp trên</t>
  </si>
  <si>
    <t>Bổ sung có mục tiêu</t>
  </si>
  <si>
    <t>Thu từ ngân sách cấp dưới nộp lên</t>
  </si>
  <si>
    <t>Chi quốc phòng</t>
  </si>
  <si>
    <t>Chi an ninh và trật tự an toàn xã hội</t>
  </si>
  <si>
    <t>Chi các hoạt động kinh tế</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</si>
  <si>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</si>
  <si>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</si>
  <si>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</si>
  <si>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</si>
  <si>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</si>
  <si>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</si>
  <si>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</si>
  <si>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</si>
  <si>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</si>
  <si>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</si>
  <si>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</si>
  <si>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</si>
  <si>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Dự phòng ngân sách</t>
  </si>
  <si>
    <t>Chi các chương trình mục tiêu</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</si>
  <si>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</si>
  <si>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</si>
  <si>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</si>
  <si>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</si>
  <si>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</si>
  <si>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</si>
  <si>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</si>
  <si>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</si>
  <si>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</si>
  <si>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</si>
  <si>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</si>
  <si>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</si>
  <si>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</si>
  <si>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</si>
  <si>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</si>
  <si>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</si>
  <si>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</si>
  <si>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</si>
  <si>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</si>
  <si>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</si>
  <si>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Bao gồm</t>
  </si>
  <si>
    <t>1=2+3</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</si>
  <si>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</si>
  <si>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</si>
  <si>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</si>
  <si>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</si>
  <si>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</si>
  <si>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</si>
  <si>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</si>
  <si>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</si>
  <si>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</si>
  <si>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</si>
  <si>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</si>
  <si>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</si>
  <si>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</si>
  <si>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</si>
  <si>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</si>
  <si>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</si>
  <si>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</si>
  <si>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</si>
  <si>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</si>
  <si>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</si>
  <si>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</si>
  <si>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</si>
  <si>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</si>
  <si>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</si>
  <si>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</si>
  <si>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</si>
  <si>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</si>
  <si>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</si>
  <si>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</si>
  <si>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</si>
  <si>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</si>
  <si>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</si>
  <si>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</si>
  <si>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</si>
  <si>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</si>
  <si>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</si>
  <si>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</si>
  <si>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</si>
  <si>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</si>
  <si>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</si>
  <si>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</si>
  <si>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</si>
  <si>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</si>
  <si>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</si>
  <si>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</si>
  <si>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</si>
  <si>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</si>
  <si>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</si>
  <si>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</si>
  <si>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</si>
  <si>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</si>
  <si>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</si>
  <si>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Nghị định số 31/2017/NĐ-CP ngày 23/3/2017 của Chính Phủ</t>
  </si>
  <si>
    <t>NGÂN SÁCH CẤP TỈNH</t>
  </si>
  <si>
    <t xml:space="preserve">Chi thuộc nhiệm vụ của ngân sách cấp tỉnh </t>
  </si>
  <si>
    <t>Văn phòng Tỉnh ủy</t>
  </si>
  <si>
    <t>Bộ chỉ huy Quân sự tỉnh</t>
  </si>
  <si>
    <t>Công an tỉnh</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</si>
  <si>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</si>
  <si>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</si>
  <si>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</si>
  <si>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</si>
  <si>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</si>
  <si>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</si>
  <si>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</si>
  <si>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</si>
  <si>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</si>
  <si>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</si>
  <si>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</si>
  <si>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</si>
  <si>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</si>
  <si>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</si>
  <si>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</si>
  <si>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</si>
  <si>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</si>
  <si>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</si>
  <si>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</si>
  <si>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</si>
  <si>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</si>
  <si>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</si>
  <si>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</si>
  <si>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</si>
  <si>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</si>
  <si>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</si>
  <si>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</si>
  <si>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</si>
  <si>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</si>
  <si>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</si>
  <si>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</si>
  <si>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</si>
  <si>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</si>
  <si>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</si>
  <si>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</si>
  <si>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</si>
  <si>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</si>
  <si>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</si>
  <si>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</si>
  <si>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</si>
  <si>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</si>
  <si>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</si>
  <si>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</si>
  <si>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</si>
  <si>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</si>
  <si>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</si>
  <si>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</si>
  <si>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</si>
  <si>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</si>
  <si>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</si>
  <si>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</si>
  <si>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</si>
  <si>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</si>
  <si>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</si>
  <si>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</si>
  <si>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</si>
  <si>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</si>
  <si>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</si>
  <si>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</si>
  <si>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</si>
  <si>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</si>
  <si>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</si>
  <si>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</si>
  <si>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</si>
  <si>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</si>
  <si>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</si>
  <si>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</si>
  <si>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</si>
  <si>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</si>
  <si>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</si>
  <si>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</si>
  <si>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</si>
  <si>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</si>
  <si>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</si>
  <si>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</si>
  <si>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</si>
  <si>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</si>
  <si>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</si>
  <si>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</si>
  <si>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</si>
  <si>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</si>
  <si>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</si>
  <si>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</si>
  <si>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</si>
  <si>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</si>
  <si>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</si>
  <si>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</si>
  <si>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</si>
  <si>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</si>
  <si>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</si>
  <si>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</si>
  <si>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</si>
  <si>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</si>
  <si>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</si>
  <si>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</si>
  <si>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</si>
  <si>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</si>
  <si>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</si>
  <si>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</si>
  <si>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</si>
  <si>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</si>
  <si>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</si>
  <si>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</si>
  <si>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</si>
  <si>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</si>
  <si>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</si>
  <si>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</si>
  <si>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</si>
  <si>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</si>
  <si>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</si>
  <si>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</si>
  <si>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</si>
  <si>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</si>
  <si>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</si>
  <si>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</si>
  <si>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</si>
  <si>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</si>
  <si>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</si>
  <si>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</si>
  <si>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</si>
  <si>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</si>
  <si>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</si>
  <si>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</si>
  <si>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</si>
  <si>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</si>
  <si>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</si>
  <si>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</si>
  <si>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</si>
  <si>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</si>
  <si>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</si>
  <si>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</si>
  <si>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</si>
  <si>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</si>
  <si>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</si>
  <si>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</si>
  <si>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</si>
  <si>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</si>
  <si>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</si>
  <si>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</si>
  <si>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</si>
  <si>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</si>
  <si>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</si>
  <si>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</si>
  <si>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</si>
  <si>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</si>
  <si>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</si>
  <si>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</si>
  <si>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</si>
  <si>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</si>
  <si>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</si>
  <si>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</si>
  <si>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</si>
  <si>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</si>
  <si>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</si>
  <si>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</si>
  <si>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</si>
  <si>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</si>
  <si>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</si>
  <si>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</si>
  <si>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</si>
  <si>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</si>
  <si>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</si>
  <si>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</si>
  <si>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</si>
  <si>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</si>
  <si>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</si>
  <si>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</si>
  <si>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</si>
  <si>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</si>
  <si>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</si>
  <si>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</si>
  <si>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</si>
  <si>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</si>
  <si>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</si>
  <si>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</si>
  <si>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</si>
  <si>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</si>
  <si>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</si>
  <si>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</si>
  <si>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</si>
  <si>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</si>
  <si>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</si>
  <si>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</si>
  <si>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</si>
  <si>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</si>
  <si>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</si>
  <si>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</si>
  <si>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</si>
  <si>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</si>
  <si>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</si>
  <si>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</si>
  <si>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</si>
  <si>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</si>
  <si>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</si>
  <si>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</si>
  <si>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</si>
  <si>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</si>
  <si>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</si>
  <si>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</si>
  <si>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</si>
  <si>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</si>
  <si>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</si>
  <si>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</si>
  <si>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</si>
  <si>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</si>
  <si>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</si>
  <si>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</si>
  <si>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</si>
  <si>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</si>
  <si>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</si>
  <si>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</si>
  <si>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</si>
  <si>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</si>
  <si>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</si>
  <si>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</si>
  <si>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</si>
  <si>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</si>
  <si>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</si>
  <si>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</si>
  <si>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</si>
  <si>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</si>
  <si>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</si>
  <si>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</si>
  <si>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</si>
  <si>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</si>
  <si>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</si>
  <si>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</si>
  <si>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</si>
  <si>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</si>
  <si>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</si>
  <si>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</si>
  <si>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</si>
  <si>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</si>
  <si>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</si>
  <si>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</si>
  <si>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</si>
  <si>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</si>
  <si>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</si>
  <si>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</si>
  <si>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</si>
  <si>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</si>
  <si>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</si>
  <si>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</si>
  <si>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</si>
  <si>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</si>
  <si>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</si>
  <si>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</si>
  <si>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</si>
  <si>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</si>
  <si>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</si>
  <si>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</si>
  <si>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</si>
  <si>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</si>
  <si>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</si>
  <si>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</si>
  <si>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</si>
  <si>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</si>
  <si>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</si>
  <si>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</si>
  <si>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</si>
  <si>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</si>
  <si>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</si>
  <si>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</si>
  <si>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</si>
  <si>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</si>
  <si>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</si>
  <si>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</si>
  <si>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</si>
  <si>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</si>
  <si>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</si>
  <si>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</si>
  <si>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</si>
  <si>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</si>
  <si>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</si>
  <si>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</si>
  <si>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</si>
  <si>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</si>
  <si>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</si>
  <si>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</si>
  <si>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</si>
  <si>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</si>
  <si>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</si>
  <si>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</si>
  <si>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</si>
  <si>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</si>
  <si>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</si>
  <si>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</si>
  <si>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</si>
  <si>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</si>
  <si>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</si>
  <si>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</si>
  <si>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</si>
  <si>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</si>
  <si>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</si>
  <si>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</si>
  <si>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</si>
  <si>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</si>
  <si>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</si>
  <si>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</si>
  <si>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</si>
  <si>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</si>
  <si>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</si>
  <si>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</si>
  <si>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</si>
  <si>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</si>
  <si>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</si>
  <si>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</si>
  <si>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</si>
  <si>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</si>
  <si>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</si>
  <si>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</si>
  <si>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</si>
  <si>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</si>
  <si>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</si>
  <si>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</si>
  <si>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</si>
  <si>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</si>
  <si>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</si>
  <si>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</si>
  <si>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</si>
  <si>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</si>
  <si>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</si>
  <si>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</si>
  <si>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</si>
  <si>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</si>
  <si>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</si>
  <si>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</si>
  <si>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</si>
  <si>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</si>
  <si>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</si>
  <si>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</si>
  <si>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</si>
  <si>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</si>
  <si>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</si>
  <si>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</si>
  <si>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</si>
  <si>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</si>
  <si>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</si>
  <si>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</si>
  <si>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</si>
  <si>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</si>
  <si>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</si>
  <si>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</si>
  <si>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</si>
  <si>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</si>
  <si>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</si>
  <si>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</si>
  <si>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</si>
  <si>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</si>
  <si>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</si>
  <si>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</si>
  <si>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</si>
  <si>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</si>
  <si>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</si>
  <si>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</si>
  <si>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</si>
  <si>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</si>
  <si>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</si>
  <si>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</si>
  <si>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</si>
  <si>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</si>
  <si>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</si>
  <si>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</si>
  <si>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</si>
  <si>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</si>
  <si>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</si>
  <si>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</si>
  <si>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</si>
  <si>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</si>
  <si>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</si>
  <si>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</si>
  <si>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</si>
  <si>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</si>
  <si>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</si>
  <si>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</si>
  <si>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</si>
  <si>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</si>
  <si>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</si>
  <si>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</si>
  <si>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</si>
  <si>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</si>
  <si>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</si>
  <si>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</si>
  <si>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</si>
  <si>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</si>
  <si>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</si>
  <si>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</si>
  <si>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</si>
  <si>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</si>
  <si>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</si>
  <si>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</si>
  <si>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</si>
  <si>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</si>
  <si>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</si>
  <si>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</si>
  <si>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</si>
  <si>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</si>
  <si>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</si>
  <si>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</si>
  <si>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</si>
  <si>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</si>
  <si>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</si>
  <si>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</si>
  <si>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</si>
  <si>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</si>
  <si>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</si>
  <si>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</si>
  <si>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</si>
  <si>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</si>
  <si>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</si>
  <si>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</si>
  <si>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</si>
  <si>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</si>
  <si>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</si>
  <si>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</si>
  <si>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</si>
  <si>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</si>
  <si>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</si>
  <si>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</si>
  <si>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</si>
  <si>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</si>
  <si>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</si>
  <si>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</si>
  <si>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</si>
  <si>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</si>
  <si>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</si>
  <si>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</si>
  <si>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</si>
  <si>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</si>
  <si>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</si>
  <si>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</si>
  <si>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</si>
  <si>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</si>
  <si>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</si>
  <si>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</si>
  <si>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</si>
  <si>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</si>
  <si>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</si>
  <si>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</si>
  <si>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</si>
  <si>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</si>
  <si>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</si>
  <si>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</si>
  <si>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</si>
  <si>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</si>
  <si>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</si>
  <si>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</si>
  <si>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</si>
  <si>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</si>
  <si>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</si>
  <si>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</si>
  <si>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</si>
  <si>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</si>
  <si>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</si>
  <si>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</si>
  <si>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</si>
  <si>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</si>
  <si>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</si>
  <si>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</si>
  <si>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</si>
  <si>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</si>
  <si>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</si>
  <si>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</si>
  <si>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</si>
  <si>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</si>
  <si>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</si>
  <si>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</si>
  <si>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</si>
  <si>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</si>
  <si>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</si>
  <si>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</si>
  <si>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</si>
  <si>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</si>
  <si>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</si>
  <si>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</si>
  <si>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</si>
  <si>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</si>
  <si>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</si>
  <si>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</si>
  <si>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</si>
  <si>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</si>
  <si>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</si>
  <si>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</si>
  <si>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</si>
  <si>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</si>
  <si>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</si>
  <si>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</si>
  <si>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</si>
  <si>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</si>
  <si>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</si>
  <si>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</si>
  <si>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</si>
  <si>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</si>
  <si>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</si>
  <si>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</si>
  <si>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</si>
  <si>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</si>
  <si>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</si>
  <si>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</si>
  <si>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</si>
  <si>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</si>
  <si>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</si>
  <si>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</si>
  <si>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</si>
  <si>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</si>
  <si>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</si>
  <si>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</si>
  <si>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</si>
  <si>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</si>
  <si>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</si>
  <si>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</si>
  <si>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</si>
  <si>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</si>
  <si>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</si>
  <si>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</si>
  <si>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</si>
  <si>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</si>
  <si>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</si>
  <si>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</si>
  <si>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</si>
  <si>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</si>
  <si>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</si>
  <si>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</si>
  <si>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</si>
  <si>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</si>
  <si>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</si>
  <si>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</si>
  <si>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</si>
  <si>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</si>
  <si>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</si>
  <si>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</si>
  <si>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</si>
  <si>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</si>
  <si>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</si>
  <si>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</si>
  <si>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</si>
  <si>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</si>
  <si>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</si>
  <si>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</si>
  <si>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</si>
  <si>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</si>
  <si>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</si>
  <si>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</si>
  <si>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</si>
  <si>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</si>
  <si>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</si>
  <si>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</si>
  <si>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</si>
  <si>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</si>
  <si>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</si>
  <si>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</si>
  <si>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</si>
  <si>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</si>
  <si>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</si>
  <si>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</si>
  <si>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</si>
  <si>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</si>
  <si>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</si>
  <si>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</si>
  <si>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</si>
  <si>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</si>
  <si>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</si>
  <si>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</si>
  <si>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</si>
  <si>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</si>
  <si>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</si>
  <si>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</si>
  <si>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</si>
  <si>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</si>
  <si>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</si>
  <si>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</si>
  <si>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</si>
  <si>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</si>
  <si>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</si>
  <si>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</si>
  <si>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</si>
  <si>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</si>
  <si>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</si>
  <si>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</si>
  <si>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</si>
  <si>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</si>
  <si>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</si>
  <si>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</si>
  <si>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</si>
  <si>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</si>
  <si>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</si>
  <si>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</si>
  <si>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</si>
  <si>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</si>
  <si>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</si>
  <si>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</si>
  <si>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</si>
  <si>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</si>
  <si>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</si>
  <si>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</si>
  <si>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</si>
  <si>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</si>
  <si>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</si>
  <si>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</si>
  <si>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</si>
  <si>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</si>
  <si>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</si>
  <si>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</si>
  <si>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</si>
  <si>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</si>
  <si>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</si>
  <si>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</si>
  <si>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</si>
  <si>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</si>
  <si>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</si>
  <si>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</si>
  <si>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</si>
  <si>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</si>
  <si>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</si>
  <si>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</si>
  <si>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</si>
  <si>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</si>
  <si>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</si>
  <si>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</si>
  <si>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</si>
  <si>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</si>
  <si>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</si>
  <si>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</si>
  <si>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</si>
  <si>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</si>
  <si>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</si>
  <si>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</si>
  <si>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</si>
  <si>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</si>
  <si>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</si>
  <si>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</si>
  <si>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</si>
  <si>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</si>
  <si>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</si>
  <si>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</si>
  <si>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</si>
  <si>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</si>
  <si>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</si>
  <si>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</si>
  <si>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</si>
  <si>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</si>
  <si>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</si>
  <si>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</si>
  <si>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</si>
  <si>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</si>
  <si>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</si>
  <si>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</si>
  <si>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</si>
  <si>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</si>
  <si>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</si>
  <si>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</si>
  <si>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</si>
  <si>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</si>
  <si>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</si>
  <si>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</si>
  <si>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</si>
  <si>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</si>
  <si>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</si>
  <si>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</si>
  <si>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</si>
  <si>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</si>
  <si>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</si>
  <si>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</si>
  <si>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</si>
  <si>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</si>
  <si>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</si>
  <si>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</si>
  <si>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</si>
  <si>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</si>
  <si>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</si>
  <si>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</si>
  <si>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</si>
  <si>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</si>
  <si>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</si>
  <si>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</si>
  <si>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</si>
  <si>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</si>
  <si>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</si>
  <si>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</si>
  <si>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</si>
  <si>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</si>
  <si>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</si>
  <si>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</si>
  <si>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</si>
  <si>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</si>
  <si>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</si>
  <si>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</si>
  <si>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</si>
  <si>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</si>
  <si>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</si>
  <si>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</si>
  <si>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</si>
  <si>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</si>
  <si>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</si>
  <si>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</si>
  <si>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</si>
  <si>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</si>
  <si>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</si>
  <si>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</si>
  <si>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</si>
  <si>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</si>
  <si>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</si>
  <si>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</si>
  <si>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</si>
  <si>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</si>
  <si>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</si>
  <si>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</si>
  <si>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</si>
  <si>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</si>
  <si>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</si>
  <si>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</si>
  <si>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</si>
  <si>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</si>
  <si>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</si>
  <si>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</si>
  <si>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</si>
  <si>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</si>
  <si>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</si>
  <si>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</si>
  <si>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</si>
  <si>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</si>
  <si>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</si>
  <si>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</si>
  <si>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</si>
  <si>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</si>
  <si>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</si>
  <si>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</si>
  <si>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</si>
  <si>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</si>
  <si>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</si>
  <si>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</si>
  <si>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</si>
  <si>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</si>
  <si>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</si>
  <si>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</si>
  <si>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</si>
  <si>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</si>
  <si>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</si>
  <si>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</si>
  <si>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</si>
  <si>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</si>
  <si>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</si>
  <si>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</si>
  <si>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</si>
  <si>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</si>
  <si>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</si>
  <si>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</si>
  <si>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</si>
  <si>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</si>
  <si>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</si>
  <si>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</si>
  <si>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</si>
  <si>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</si>
  <si>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</si>
  <si>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</si>
  <si>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</si>
  <si>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</si>
  <si>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</si>
  <si>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</si>
  <si>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</si>
  <si>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</si>
  <si>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</si>
  <si>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</si>
  <si>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</si>
  <si>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</si>
  <si>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</si>
  <si>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</si>
  <si>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</si>
  <si>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</si>
  <si>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</si>
  <si>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</si>
  <si>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</si>
  <si>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</si>
  <si>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</si>
  <si>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</si>
  <si>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</si>
  <si>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</si>
  <si>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</si>
  <si>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</si>
  <si>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</si>
  <si>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</si>
  <si>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</si>
  <si>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</si>
  <si>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</si>
  <si>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</si>
  <si>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</si>
  <si>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</si>
  <si>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</si>
  <si>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</si>
  <si>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</si>
  <si>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</si>
  <si>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</si>
  <si>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</si>
  <si>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</si>
  <si>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</si>
  <si>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</si>
  <si>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</si>
  <si>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</si>
  <si>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</si>
  <si>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</si>
  <si>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</si>
  <si>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</si>
  <si>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</si>
  <si>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</si>
  <si>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</si>
  <si>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</si>
  <si>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</si>
  <si>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</si>
  <si>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</si>
  <si>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</si>
  <si>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</si>
  <si>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</si>
  <si>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</si>
  <si>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</si>
  <si>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</si>
  <si>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</si>
  <si>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</si>
  <si>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</si>
  <si>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</si>
  <si>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</si>
  <si>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</si>
  <si>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</si>
  <si>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</si>
  <si>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</si>
  <si>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</si>
  <si>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</si>
  <si>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</si>
  <si>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</si>
  <si>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</si>
  <si>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</si>
  <si>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</si>
  <si>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</si>
  <si>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</si>
  <si>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</si>
  <si>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</si>
  <si>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</si>
  <si>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</si>
  <si>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</si>
  <si>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</si>
  <si>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</si>
  <si>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</si>
  <si>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</si>
  <si>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</si>
  <si>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</si>
  <si>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</si>
  <si>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</si>
  <si>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</si>
  <si>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</si>
  <si>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</si>
  <si>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</si>
  <si>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</si>
  <si>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</si>
  <si>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</si>
  <si>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</si>
  <si>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</si>
  <si>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</si>
  <si>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</si>
  <si>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</si>
  <si>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</si>
  <si>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</si>
  <si>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</si>
  <si>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</si>
  <si>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</si>
  <si>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</si>
  <si>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</si>
  <si>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</si>
  <si>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</si>
  <si>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</si>
  <si>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</si>
  <si>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</si>
  <si>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</si>
  <si>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</si>
  <si>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</si>
  <si>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</si>
  <si>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</si>
  <si>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</si>
  <si>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</si>
  <si>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</si>
  <si>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</si>
  <si>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</si>
  <si>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</si>
  <si>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</si>
  <si>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</si>
  <si>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</si>
  <si>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</si>
  <si>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</si>
  <si>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</si>
  <si>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</si>
  <si>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</si>
  <si>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</si>
  <si>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</si>
  <si>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</si>
  <si>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</si>
  <si>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</si>
  <si>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</si>
  <si>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</si>
  <si>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</si>
  <si>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</si>
  <si>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</si>
  <si>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</si>
  <si>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</si>
  <si>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</si>
  <si>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</si>
  <si>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</si>
  <si>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</si>
  <si>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</si>
  <si>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</si>
  <si>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</si>
  <si>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</si>
  <si>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</si>
  <si>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</si>
  <si>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</si>
  <si>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</si>
  <si>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</si>
  <si>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</si>
  <si>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</si>
  <si>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</si>
  <si>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</si>
  <si>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</si>
  <si>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</si>
  <si>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</si>
  <si>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</si>
  <si>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</si>
  <si>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</si>
  <si>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</si>
  <si>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</si>
  <si>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</si>
  <si>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</si>
  <si>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</si>
  <si>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</si>
  <si>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</si>
  <si>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</si>
  <si>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</si>
  <si>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</si>
  <si>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</si>
  <si>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</si>
  <si>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</si>
  <si>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</si>
  <si>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</si>
  <si>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</si>
  <si>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</si>
  <si>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</si>
  <si>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</si>
  <si>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</si>
  <si>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</si>
  <si>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</si>
  <si>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</si>
  <si>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</si>
  <si>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</si>
  <si>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</si>
  <si>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</si>
  <si>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</si>
  <si>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</si>
  <si>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</si>
  <si>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</si>
  <si>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</si>
  <si>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</si>
  <si>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</si>
  <si>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</si>
  <si>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</si>
  <si>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</si>
  <si>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</si>
  <si>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</si>
  <si>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</si>
  <si>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</si>
  <si>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</si>
  <si>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</si>
  <si>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</si>
  <si>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</si>
  <si>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</si>
  <si>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</si>
  <si>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</si>
  <si>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</si>
  <si>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</si>
  <si>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</si>
  <si>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</si>
  <si>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</si>
  <si>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</si>
  <si>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</si>
  <si>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</si>
  <si>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</si>
  <si>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</si>
  <si>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</si>
  <si>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</si>
  <si>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</si>
  <si>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</si>
  <si>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</si>
  <si>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</si>
  <si>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</si>
  <si>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</si>
  <si>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</si>
  <si>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</si>
  <si>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</si>
  <si>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</si>
  <si>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</si>
  <si>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QUYẾT TOÁN CHI BỔ SUNG TỪ NGÂN SÁCH CẤP TỈNH CHO NGÂN SÁCH TỪNG HUYỆN NĂM 2017</t>
  </si>
  <si>
    <t>Thu vay</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</si>
  <si>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</si>
  <si>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</si>
  <si>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</si>
  <si>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</si>
  <si>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</si>
  <si>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</si>
  <si>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</si>
  <si>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</si>
  <si>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</si>
  <si>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</si>
  <si>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</si>
  <si>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</si>
  <si>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</si>
  <si>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</si>
  <si>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</si>
  <si>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</si>
  <si>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</si>
  <si>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</si>
  <si>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</si>
  <si>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</si>
  <si>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</si>
  <si>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</si>
  <si>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</si>
  <si>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</si>
  <si>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</si>
  <si>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</si>
  <si>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</si>
  <si>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</si>
  <si>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</si>
  <si>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</si>
  <si>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</si>
  <si>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</si>
  <si>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</si>
  <si>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</si>
  <si>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</si>
  <si>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</si>
  <si>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</si>
  <si>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</si>
  <si>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</si>
  <si>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</si>
  <si>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</si>
  <si>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</si>
  <si>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</si>
  <si>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</si>
  <si>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</si>
  <si>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</si>
  <si>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</si>
  <si>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</si>
  <si>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</si>
  <si>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</si>
  <si>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</si>
  <si>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</si>
  <si>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</si>
  <si>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</si>
  <si>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</si>
  <si>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</si>
  <si>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</si>
  <si>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</si>
  <si>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</si>
  <si>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</si>
  <si>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</si>
  <si>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</si>
  <si>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</si>
  <si>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</si>
  <si>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</si>
  <si>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</si>
  <si>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</si>
  <si>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</si>
  <si>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</si>
  <si>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</si>
  <si>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</si>
  <si>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</si>
  <si>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</si>
  <si>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</si>
  <si>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</si>
  <si>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</si>
  <si>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</si>
  <si>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</si>
  <si>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</si>
  <si>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</si>
  <si>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</si>
  <si>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</si>
  <si>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Huyện</t>
  </si>
  <si>
    <t>1.4</t>
  </si>
  <si>
    <t>2.1</t>
  </si>
  <si>
    <t>2.2</t>
  </si>
  <si>
    <t>2.3</t>
  </si>
  <si>
    <t>3.1</t>
  </si>
  <si>
    <t>3.2</t>
  </si>
  <si>
    <t>3.3</t>
  </si>
  <si>
    <t>3.4</t>
  </si>
  <si>
    <t>Thu huy động đóng góp</t>
  </si>
  <si>
    <t>Cộng thêm số TWBS</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</si>
  <si>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</si>
  <si>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</si>
  <si>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</si>
  <si>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</si>
  <si>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</si>
  <si>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</si>
  <si>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</si>
  <si>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</si>
  <si>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</si>
  <si>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</si>
  <si>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</si>
  <si>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</si>
  <si>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</si>
  <si>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</si>
  <si>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</si>
  <si>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</si>
  <si>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</si>
  <si>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</si>
  <si>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</si>
  <si>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</si>
  <si>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 xml:space="preserve">Tên đơn vị </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</si>
  <si>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</si>
  <si>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</si>
  <si>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</si>
  <si>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</si>
  <si>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</si>
  <si>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</si>
  <si>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</si>
  <si>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</si>
  <si>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</si>
  <si>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</si>
  <si>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</si>
  <si>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</si>
  <si>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</si>
  <si>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</si>
  <si>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</si>
  <si>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</si>
  <si>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</si>
  <si>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</si>
  <si>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</si>
  <si>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</si>
  <si>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</si>
  <si>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</si>
  <si>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</si>
  <si>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</si>
  <si>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</si>
  <si>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</si>
  <si>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</si>
  <si>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</si>
  <si>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</si>
  <si>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</si>
  <si>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</si>
  <si>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</si>
  <si>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</si>
  <si>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</si>
  <si>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</si>
  <si>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</si>
  <si>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</si>
  <si>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</si>
  <si>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</si>
  <si>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</si>
  <si>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</si>
  <si>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</si>
  <si>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</si>
  <si>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</si>
  <si>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</si>
  <si>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</si>
  <si>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</si>
  <si>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</si>
  <si>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</si>
  <si>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</si>
  <si>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</si>
  <si>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</si>
  <si>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</si>
  <si>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</si>
  <si>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</si>
  <si>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</si>
  <si>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</si>
  <si>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</si>
  <si>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</si>
  <si>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</si>
  <si>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</si>
  <si>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</si>
  <si>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</si>
  <si>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</si>
  <si>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</si>
  <si>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</si>
  <si>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</si>
  <si>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</si>
  <si>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</si>
  <si>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</si>
  <si>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</si>
  <si>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</si>
  <si>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</si>
  <si>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</si>
  <si>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</si>
  <si>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</si>
  <si>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</si>
  <si>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</si>
  <si>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</si>
  <si>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</si>
  <si>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</si>
  <si>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</si>
  <si>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</si>
  <si>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</si>
  <si>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</si>
  <si>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</si>
  <si>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</si>
  <si>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</si>
  <si>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</si>
  <si>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</si>
  <si>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</si>
  <si>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</si>
  <si>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</si>
  <si>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</si>
  <si>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</si>
  <si>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</si>
  <si>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</si>
  <si>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</si>
  <si>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</si>
  <si>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</si>
  <si>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</si>
  <si>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</si>
  <si>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</si>
  <si>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</si>
  <si>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</si>
  <si>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</si>
  <si>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</si>
  <si>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</si>
  <si>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</si>
  <si>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</si>
  <si>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</si>
  <si>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</si>
  <si>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</si>
  <si>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</si>
  <si>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</si>
  <si>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</si>
  <si>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</si>
  <si>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</si>
  <si>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</si>
  <si>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</si>
  <si>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</si>
  <si>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</si>
  <si>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</si>
  <si>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</si>
  <si>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</si>
  <si>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</si>
  <si>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</si>
  <si>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</si>
  <si>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</si>
  <si>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</si>
  <si>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</si>
  <si>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</si>
  <si>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</si>
  <si>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</si>
  <si>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</si>
  <si>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</si>
  <si>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</si>
  <si>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</si>
  <si>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</si>
  <si>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</si>
  <si>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</si>
  <si>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</si>
  <si>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</si>
  <si>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</si>
  <si>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</si>
  <si>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</si>
  <si>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</si>
  <si>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</si>
  <si>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</si>
  <si>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</si>
  <si>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</si>
  <si>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</si>
  <si>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SNQP</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</si>
  <si>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</si>
  <si>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</si>
  <si>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</si>
  <si>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</si>
  <si>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</si>
  <si>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</si>
  <si>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</si>
  <si>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</si>
  <si>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</si>
  <si>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</si>
  <si>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</si>
  <si>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</si>
  <si>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</si>
  <si>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</si>
  <si>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</si>
  <si>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</si>
  <si>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</si>
  <si>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</si>
  <si>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</si>
  <si>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</si>
  <si>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</si>
  <si>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</si>
  <si>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</si>
  <si>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</si>
  <si>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</si>
  <si>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</si>
  <si>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</si>
  <si>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</si>
  <si>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</si>
  <si>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</si>
  <si>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</si>
  <si>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</si>
  <si>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</si>
  <si>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</si>
  <si>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</si>
  <si>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</si>
  <si>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</si>
  <si>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</si>
  <si>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</si>
  <si>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</si>
  <si>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</si>
  <si>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</si>
  <si>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</si>
  <si>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</si>
  <si>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</si>
  <si>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</si>
  <si>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</si>
  <si>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</si>
  <si>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</si>
  <si>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</si>
  <si>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</si>
  <si>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</si>
  <si>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</si>
  <si>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9=10+11</t>
  </si>
  <si>
    <t>2=3+…+17</t>
  </si>
  <si>
    <t>UBMT Tổ quốc Việt Nam Tỉnh</t>
  </si>
  <si>
    <t>Sở Lao động-Thương binh &amp;XH</t>
  </si>
  <si>
    <t>Văm phòng Chi cục Dân số và Kế hoạch hóa gia đình tỉnh</t>
  </si>
  <si>
    <t>Quỹ chất độc da cam/đioxin</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</si>
  <si>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</si>
  <si>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</si>
  <si>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</si>
  <si>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</si>
  <si>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</si>
  <si>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</si>
  <si>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18=9/1</t>
  </si>
  <si>
    <t>19=10/2</t>
  </si>
  <si>
    <t>20=11/3</t>
  </si>
  <si>
    <t>21=12/4</t>
  </si>
  <si>
    <t>22=13/5</t>
  </si>
  <si>
    <t>23=14/6</t>
  </si>
  <si>
    <t>24=15/7</t>
  </si>
  <si>
    <t>25=16/8</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</si>
  <si>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</si>
  <si>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</si>
  <si>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</si>
  <si>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</si>
  <si>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</si>
  <si>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</si>
  <si>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</si>
  <si>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</si>
  <si>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</si>
  <si>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</si>
  <si>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</si>
  <si>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</si>
  <si>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</si>
  <si>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</si>
  <si>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</si>
  <si>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</si>
  <si>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</si>
  <si>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</si>
  <si>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</si>
  <si>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</si>
  <si>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</si>
  <si>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</si>
  <si>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</si>
  <si>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</si>
  <si>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</si>
  <si>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</si>
  <si>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</si>
  <si>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</si>
  <si>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</si>
  <si>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</si>
  <si>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</si>
  <si>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</si>
  <si>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</si>
  <si>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</si>
  <si>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</si>
  <si>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</si>
  <si>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</si>
  <si>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</si>
  <si>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</si>
  <si>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</si>
  <si>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</si>
  <si>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</si>
  <si>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</si>
  <si>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</si>
  <si>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</si>
  <si>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</si>
  <si>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</si>
  <si>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</si>
  <si>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</si>
  <si>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</si>
  <si>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</si>
  <si>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</si>
  <si>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</si>
  <si>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</si>
  <si>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</si>
  <si>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</si>
  <si>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</si>
  <si>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</si>
  <si>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</si>
  <si>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</si>
  <si>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</si>
  <si>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</si>
  <si>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</si>
  <si>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</si>
  <si>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</si>
  <si>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</si>
  <si>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</si>
  <si>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</si>
  <si>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</si>
  <si>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r>
      <t xml:space="preserve">Dự toán </t>
    </r>
    <r>
      <rPr>
        <sz val="12"/>
        <rFont val="Times New Roman"/>
        <family val="1"/>
      </rPr>
      <t>(bao gồm dự toán bổ sung trong năm)</t>
    </r>
  </si>
  <si>
    <t>S
T
T</t>
  </si>
  <si>
    <t>UBND TỈNH QUẢNG NAM</t>
  </si>
  <si>
    <t>(Quyết toán đã được Hội đồng nhân dân tỉnh phê chuẩn)</t>
  </si>
  <si>
    <t>Biểu số 67/CK-NSNN</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</si>
</sst>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298">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sz val="10"/>
      <name val="Calibri"/>
      <family val="2"/>
      <charset val="163"/>
      <scheme val="minor"/>
    </font>
    <font>
      <b/>
      <sz val="15"/>
      <name val="Times New Roman"/>
      <family val="1"/>
    </font>
    <font>
      <sz val="15"/>
      <name val="Calibri"/>
      <family val="2"/>
      <charset val="163"/>
      <scheme val="minor"/>
    </font>
    <font>
      <i/>
      <sz val="15"/>
      <name val="Times New Roman"/>
      <family val="1"/>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1" fillId="0" borderId="0" applyFont="0" applyFill="0" applyBorder="0" applyAlignment="0" applyProtection="0"/>
    <xf numFmtId="38" fontId="251" fillId="0" borderId="0" applyFont="0" applyFill="0" applyBorder="0" applyAlignment="0" applyProtection="0"/>
    <xf numFmtId="0" fontId="20" fillId="0" borderId="0"/>
    <xf numFmtId="0" fontId="252" fillId="0" borderId="0"/>
    <xf numFmtId="0" fontId="253" fillId="0" borderId="0" applyFont="0" applyFill="0" applyBorder="0" applyAlignment="0" applyProtection="0"/>
    <xf numFmtId="352" fontId="20" fillId="0" borderId="0" applyFont="0" applyFill="0" applyBorder="0" applyAlignment="0" applyProtection="0"/>
    <xf numFmtId="216" fontId="254" fillId="0" borderId="0" applyFont="0" applyFill="0" applyBorder="0" applyAlignment="0" applyProtection="0"/>
    <xf numFmtId="181" fontId="255" fillId="0" borderId="0" applyFont="0" applyFill="0" applyBorder="0" applyAlignment="0" applyProtection="0"/>
    <xf numFmtId="0" fontId="256" fillId="0" borderId="0"/>
    <xf numFmtId="179" fontId="255"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9" fontId="257" fillId="0" borderId="0" applyFont="0" applyFill="0" applyBorder="0" applyAlignment="0" applyProtection="0"/>
    <xf numFmtId="180" fontId="255" fillId="0" borderId="0" applyFont="0" applyFill="0" applyBorder="0" applyAlignment="0" applyProtection="0"/>
    <xf numFmtId="353" fontId="20" fillId="0" borderId="0" applyFont="0" applyFill="0" applyBorder="0" applyAlignment="0" applyProtection="0"/>
    <xf numFmtId="217" fontId="254" fillId="0" borderId="0" applyFont="0" applyFill="0" applyBorder="0" applyAlignment="0" applyProtection="0"/>
    <xf numFmtId="217" fontId="254" fillId="0" borderId="0" applyFont="0" applyFill="0" applyBorder="0" applyAlignment="0" applyProtection="0"/>
    <xf numFmtId="0" fontId="255" fillId="0" borderId="0"/>
    <xf numFmtId="182" fontId="255" fillId="0" borderId="0" applyFont="0" applyFill="0" applyBorder="0" applyAlignment="0" applyProtection="0"/>
    <xf numFmtId="0" fontId="20" fillId="0" borderId="0"/>
    <xf numFmtId="0" fontId="253"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8" fillId="0" borderId="0" applyFont="0" applyFill="0" applyBorder="0" applyAlignment="0" applyProtection="0"/>
    <xf numFmtId="9" fontId="259"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1" fillId="0" borderId="0" applyFont="0" applyFill="0" applyBorder="0" applyAlignment="0" applyProtection="0"/>
    <xf numFmtId="0" fontId="251"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1"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2"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3"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4" fillId="0" borderId="0"/>
    <xf numFmtId="0" fontId="20" fillId="0" borderId="0"/>
    <xf numFmtId="0" fontId="20" fillId="0" borderId="0"/>
    <xf numFmtId="0" fontId="20" fillId="0" borderId="0"/>
    <xf numFmtId="0" fontId="20" fillId="0" borderId="0"/>
    <xf numFmtId="0" fontId="24" fillId="0" borderId="0"/>
    <xf numFmtId="0" fontId="264" fillId="0" borderId="0"/>
    <xf numFmtId="0" fontId="20" fillId="0" borderId="0"/>
    <xf numFmtId="0" fontId="20" fillId="0" borderId="0"/>
    <xf numFmtId="0" fontId="264"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4" fillId="0" borderId="0"/>
    <xf numFmtId="0" fontId="264" fillId="0" borderId="0"/>
    <xf numFmtId="0" fontId="264" fillId="0" borderId="0"/>
    <xf numFmtId="0" fontId="264" fillId="0" borderId="0"/>
    <xf numFmtId="0" fontId="264"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5"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6"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7"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8"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69" fillId="53" borderId="1">
      <alignment horizontal="center" vertical="center"/>
      <protection hidden="1"/>
    </xf>
    <xf numFmtId="0" fontId="270"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33">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14" fillId="0" borderId="11" xfId="1" applyFont="1" applyBorder="1" applyAlignment="1">
      <alignment horizontal="center" vertical="center" wrapText="1"/>
    </xf>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0" fontId="274"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3" fontId="17" fillId="0" borderId="14" xfId="0" applyNumberFormat="1" applyFont="1" applyFill="1" applyBorder="1" applyAlignment="1">
      <alignment horizontal="left" vertical="center" wrapText="1"/>
    </xf>
    <xf numFmtId="0" fontId="275" fillId="0" borderId="0" xfId="1" applyFont="1"/>
    <xf numFmtId="1" fontId="15" fillId="0" borderId="11" xfId="1" applyNumberFormat="1" applyFont="1" applyBorder="1" applyAlignment="1">
      <alignment horizontal="center" vertical="center" wrapText="1"/>
    </xf>
    <xf numFmtId="0" fontId="276" fillId="0" borderId="0" xfId="5795" applyFont="1"/>
    <xf numFmtId="0" fontId="276" fillId="0" borderId="0" xfId="5795" applyFont="1" applyAlignment="1">
      <alignment vertical="center" wrapText="1"/>
    </xf>
    <xf numFmtId="0" fontId="278" fillId="0" borderId="1" xfId="5795" applyFont="1" applyBorder="1" applyAlignment="1">
      <alignment horizontal="center" vertical="center" wrapText="1"/>
    </xf>
    <xf numFmtId="0" fontId="277" fillId="0" borderId="0" xfId="5795" applyFont="1"/>
    <xf numFmtId="0" fontId="279" fillId="0" borderId="11" xfId="5795" applyFont="1" applyBorder="1" applyAlignment="1">
      <alignment horizontal="center" vertical="center" wrapText="1"/>
    </xf>
    <xf numFmtId="0" fontId="279" fillId="0" borderId="11" xfId="5795" applyFont="1" applyBorder="1" applyAlignment="1">
      <alignment vertical="center" wrapText="1"/>
    </xf>
    <xf numFmtId="3" fontId="279" fillId="0" borderId="11" xfId="5795" applyNumberFormat="1" applyFont="1" applyBorder="1" applyAlignment="1">
      <alignment vertical="center" wrapText="1"/>
    </xf>
    <xf numFmtId="2" fontId="279" fillId="0" borderId="11" xfId="5795" applyNumberFormat="1" applyFont="1" applyBorder="1" applyAlignment="1">
      <alignment vertical="center" wrapText="1"/>
    </xf>
    <xf numFmtId="166" fontId="279" fillId="0" borderId="11" xfId="5795" applyNumberFormat="1" applyFont="1" applyBorder="1" applyAlignment="1">
      <alignment vertical="center" wrapText="1"/>
    </xf>
    <xf numFmtId="166" fontId="277" fillId="0" borderId="0" xfId="5795" applyNumberFormat="1" applyFont="1"/>
    <xf numFmtId="0" fontId="279" fillId="0" borderId="11" xfId="5795" applyNumberFormat="1" applyFont="1" applyBorder="1" applyAlignment="1">
      <alignment vertical="center" wrapText="1"/>
    </xf>
    <xf numFmtId="0" fontId="277" fillId="0" borderId="11" xfId="5795" applyFont="1" applyBorder="1" applyAlignment="1">
      <alignment horizontal="center" vertical="center" wrapText="1"/>
    </xf>
    <xf numFmtId="0" fontId="277" fillId="0" borderId="11" xfId="5795" applyFont="1" applyBorder="1" applyAlignment="1">
      <alignment vertical="center" wrapText="1"/>
    </xf>
    <xf numFmtId="166" fontId="21" fillId="0" borderId="11" xfId="5796" applyNumberFormat="1" applyFont="1" applyBorder="1" applyAlignment="1">
      <alignment vertical="center" wrapText="1"/>
    </xf>
    <xf numFmtId="0" fontId="277" fillId="0" borderId="12" xfId="5795" applyFont="1" applyBorder="1" applyAlignment="1">
      <alignment horizontal="center" vertical="center" wrapText="1"/>
    </xf>
    <xf numFmtId="3" fontId="277" fillId="0" borderId="12" xfId="5795" applyNumberFormat="1" applyFont="1" applyBorder="1" applyAlignment="1">
      <alignment vertical="center" wrapText="1"/>
    </xf>
    <xf numFmtId="2" fontId="279"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3" fillId="0" borderId="0" xfId="0" applyFont="1"/>
    <xf numFmtId="0" fontId="282"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5" fillId="0" borderId="0" xfId="1" applyNumberFormat="1" applyFont="1"/>
    <xf numFmtId="0" fontId="15" fillId="0" borderId="11" xfId="0" applyFont="1" applyBorder="1" applyAlignment="1">
      <alignment vertical="center" wrapText="1"/>
    </xf>
    <xf numFmtId="3" fontId="274" fillId="0" borderId="0" xfId="1" applyNumberFormat="1" applyFont="1"/>
    <xf numFmtId="166" fontId="274" fillId="0" borderId="0" xfId="1" applyNumberFormat="1" applyFont="1"/>
    <xf numFmtId="0" fontId="282" fillId="0" borderId="11" xfId="1" applyFont="1" applyBorder="1" applyAlignment="1">
      <alignment horizontal="center" vertical="center" wrapText="1"/>
    </xf>
    <xf numFmtId="0" fontId="282" fillId="0" borderId="11" xfId="1" applyFont="1" applyBorder="1" applyAlignment="1">
      <alignment vertical="center" wrapText="1"/>
    </xf>
    <xf numFmtId="0" fontId="283"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4"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4" fillId="0" borderId="0" xfId="3" applyNumberFormat="1" applyFont="1"/>
    <xf numFmtId="0" fontId="284" fillId="0" borderId="0" xfId="1" applyFont="1" applyAlignment="1">
      <alignment horizontal="left" vertical="center"/>
    </xf>
    <xf numFmtId="0" fontId="274"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2"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5" fillId="0" borderId="5" xfId="40" applyFont="1" applyFill="1" applyBorder="1" applyAlignment="1">
      <alignment horizontal="center" vertical="center" wrapText="1"/>
    </xf>
    <xf numFmtId="3" fontId="285" fillId="0" borderId="5" xfId="40" applyNumberFormat="1" applyFont="1" applyFill="1" applyBorder="1" applyAlignment="1">
      <alignment horizontal="right" vertical="center" wrapText="1"/>
    </xf>
    <xf numFmtId="166" fontId="285"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7" fillId="0" borderId="11" xfId="40" applyFont="1" applyFill="1" applyBorder="1" applyAlignment="1">
      <alignment vertical="center" wrapText="1"/>
    </xf>
    <xf numFmtId="3" fontId="287" fillId="0" borderId="11" xfId="60" applyNumberFormat="1" applyFont="1" applyFill="1" applyBorder="1" applyAlignment="1">
      <alignment horizontal="center" vertical="center" wrapText="1"/>
    </xf>
    <xf numFmtId="14" fontId="287" fillId="0" borderId="11" xfId="40" applyNumberFormat="1" applyFont="1" applyFill="1" applyBorder="1" applyAlignment="1">
      <alignment horizontal="center" vertical="center" wrapText="1"/>
    </xf>
    <xf numFmtId="0" fontId="287"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5" fillId="0" borderId="5" xfId="0" applyFont="1" applyFill="1" applyBorder="1" applyAlignment="1">
      <alignment horizontal="center" vertical="center" wrapText="1"/>
    </xf>
    <xf numFmtId="3" fontId="286" fillId="0" borderId="0" xfId="0" applyNumberFormat="1" applyFont="1" applyFill="1" applyAlignment="1">
      <alignment vertical="center" wrapText="1"/>
    </xf>
    <xf numFmtId="3" fontId="285" fillId="0" borderId="0" xfId="0" applyNumberFormat="1" applyFont="1" applyFill="1" applyAlignment="1">
      <alignment vertical="center" wrapText="1"/>
    </xf>
    <xf numFmtId="0" fontId="285"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2" fillId="0" borderId="0" xfId="0" applyFont="1" applyFill="1" applyAlignment="1">
      <alignment vertical="center" wrapText="1"/>
    </xf>
    <xf numFmtId="0" fontId="287" fillId="0" borderId="11" xfId="0" applyFont="1" applyFill="1" applyBorder="1" applyAlignment="1">
      <alignment vertical="center" wrapText="1"/>
    </xf>
    <xf numFmtId="3" fontId="287" fillId="0" borderId="11" xfId="0" applyNumberFormat="1" applyFont="1" applyFill="1" applyBorder="1" applyAlignment="1">
      <alignment vertical="center" wrapText="1"/>
    </xf>
    <xf numFmtId="0" fontId="287" fillId="0" borderId="0" xfId="0" applyFont="1" applyFill="1" applyBorder="1" applyAlignment="1">
      <alignment vertical="center" wrapText="1"/>
    </xf>
    <xf numFmtId="0" fontId="287" fillId="0" borderId="0" xfId="0" applyFont="1" applyFill="1" applyAlignment="1">
      <alignment vertical="center" wrapText="1"/>
    </xf>
    <xf numFmtId="166" fontId="287"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2"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1" fillId="0" borderId="0" xfId="0" applyFont="1"/>
    <xf numFmtId="166" fontId="273" fillId="0" borderId="0" xfId="0" applyNumberFormat="1" applyFont="1"/>
    <xf numFmtId="0" fontId="273" fillId="0" borderId="1" xfId="0" applyFont="1" applyBorder="1" applyAlignment="1">
      <alignment horizontal="center"/>
    </xf>
    <xf numFmtId="0" fontId="273" fillId="0" borderId="1" xfId="0" applyFont="1" applyBorder="1"/>
    <xf numFmtId="0" fontId="0" fillId="0" borderId="1" xfId="0" applyBorder="1"/>
    <xf numFmtId="166" fontId="273" fillId="0" borderId="1" xfId="3" applyNumberFormat="1" applyFont="1" applyBorder="1"/>
    <xf numFmtId="166" fontId="0" fillId="0" borderId="1" xfId="3" applyNumberFormat="1" applyFont="1" applyBorder="1"/>
    <xf numFmtId="0" fontId="281" fillId="0" borderId="1" xfId="0" applyFont="1" applyBorder="1" applyAlignment="1">
      <alignment horizontal="center"/>
    </xf>
    <xf numFmtId="0" fontId="281" fillId="0" borderId="1" xfId="0" applyFont="1" applyBorder="1"/>
    <xf numFmtId="166" fontId="281" fillId="0" borderId="1" xfId="3" applyNumberFormat="1" applyFont="1" applyBorder="1"/>
    <xf numFmtId="0" fontId="273" fillId="0" borderId="1" xfId="0" applyFont="1" applyBorder="1" applyAlignment="1">
      <alignment horizontal="left" vertical="center" wrapText="1"/>
    </xf>
    <xf numFmtId="0" fontId="272" fillId="0" borderId="1" xfId="0" applyFont="1" applyBorder="1" applyAlignment="1">
      <alignment horizontal="left" vertical="center" wrapText="1"/>
    </xf>
    <xf numFmtId="166" fontId="272" fillId="0" borderId="1" xfId="3" applyNumberFormat="1" applyFont="1" applyBorder="1"/>
    <xf numFmtId="166" fontId="248" fillId="0" borderId="11" xfId="3" applyNumberFormat="1" applyFont="1" applyFill="1" applyBorder="1" applyAlignment="1">
      <alignment horizontal="right" vertical="center" wrapText="1"/>
    </xf>
    <xf numFmtId="166" fontId="0" fillId="0" borderId="0" xfId="3" applyNumberFormat="1" applyFont="1"/>
    <xf numFmtId="166" fontId="275" fillId="0" borderId="0" xfId="3" applyNumberFormat="1" applyFont="1"/>
    <xf numFmtId="166" fontId="283" fillId="0" borderId="0" xfId="1" applyNumberFormat="1" applyFont="1"/>
    <xf numFmtId="166" fontId="273" fillId="0" borderId="0" xfId="3"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79" fillId="0" borderId="17" xfId="5795" applyFont="1" applyBorder="1" applyAlignment="1">
      <alignment horizontal="center" vertical="center" wrapText="1"/>
    </xf>
    <xf numFmtId="0" fontId="279" fillId="0" borderId="17" xfId="5795" applyFont="1" applyBorder="1" applyAlignment="1">
      <alignment horizontal="left" vertical="center" wrapText="1"/>
    </xf>
    <xf numFmtId="3" fontId="279" fillId="0" borderId="17" xfId="5795" applyNumberFormat="1" applyFont="1" applyBorder="1" applyAlignment="1">
      <alignment vertical="center" wrapText="1"/>
    </xf>
    <xf numFmtId="2" fontId="279" fillId="0" borderId="17" xfId="5795" applyNumberFormat="1" applyFont="1" applyBorder="1" applyAlignment="1">
      <alignment vertical="center" wrapText="1"/>
    </xf>
    <xf numFmtId="0" fontId="278" fillId="0" borderId="13" xfId="5795" applyFont="1" applyBorder="1" applyAlignment="1">
      <alignment horizontal="center" vertical="center" wrapText="1"/>
    </xf>
    <xf numFmtId="3" fontId="278" fillId="0" borderId="13" xfId="5795" applyNumberFormat="1" applyFont="1" applyBorder="1" applyAlignment="1">
      <alignment vertical="center" wrapText="1"/>
    </xf>
    <xf numFmtId="2" fontId="278"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4" fillId="0" borderId="0" xfId="3" applyNumberFormat="1" applyFont="1" applyFill="1"/>
    <xf numFmtId="0" fontId="15" fillId="2" borderId="1" xfId="1" applyFont="1" applyFill="1" applyBorder="1" applyAlignment="1">
      <alignment horizontal="center" vertical="center" wrapText="1"/>
    </xf>
    <xf numFmtId="166" fontId="274" fillId="0" borderId="0" xfId="1" applyNumberFormat="1" applyFont="1" applyFill="1"/>
    <xf numFmtId="0" fontId="285" fillId="0" borderId="5" xfId="1" applyFont="1" applyFill="1" applyBorder="1" applyAlignment="1">
      <alignment horizontal="center" vertical="center" wrapText="1"/>
    </xf>
    <xf numFmtId="166" fontId="285" fillId="0" borderId="5" xfId="3" applyNumberFormat="1" applyFont="1" applyFill="1" applyBorder="1" applyAlignment="1">
      <alignment horizontal="center" vertical="center" wrapText="1"/>
    </xf>
    <xf numFmtId="166" fontId="285" fillId="0" borderId="17" xfId="3" applyNumberFormat="1" applyFont="1" applyFill="1" applyBorder="1" applyAlignment="1">
      <alignment horizontal="center" vertical="center" wrapText="1"/>
    </xf>
    <xf numFmtId="166" fontId="288" fillId="0" borderId="0" xfId="1" applyNumberFormat="1" applyFont="1" applyFill="1"/>
    <xf numFmtId="166" fontId="288" fillId="0" borderId="0" xfId="3" applyNumberFormat="1" applyFont="1" applyFill="1"/>
    <xf numFmtId="0" fontId="288"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89"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2" fillId="0" borderId="11" xfId="1" applyNumberFormat="1" applyFont="1" applyBorder="1" applyAlignment="1">
      <alignment horizontal="center" vertical="center" wrapText="1"/>
    </xf>
    <xf numFmtId="363" fontId="283"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3" fillId="0" borderId="1" xfId="1" applyFont="1" applyFill="1" applyBorder="1" applyAlignment="1">
      <alignment horizontal="center" vertical="center" wrapText="1"/>
    </xf>
    <xf numFmtId="0" fontId="279" fillId="0" borderId="1" xfId="5795" applyFont="1" applyBorder="1" applyAlignment="1">
      <alignment horizontal="center" vertical="center" wrapText="1"/>
    </xf>
    <xf numFmtId="166" fontId="250" fillId="0" borderId="11"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0" fontId="14" fillId="0" borderId="0" xfId="1" applyFont="1" applyFill="1" applyAlignment="1">
      <alignment vertical="center"/>
    </xf>
    <xf numFmtId="0" fontId="250" fillId="0" borderId="11" xfId="1" applyFont="1" applyBorder="1" applyAlignment="1">
      <alignment vertical="center" wrapText="1"/>
    </xf>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0" fillId="0" borderId="0" xfId="3" applyNumberFormat="1" applyFont="1"/>
    <xf numFmtId="166" fontId="281" fillId="0" borderId="0" xfId="3" applyNumberFormat="1" applyFont="1"/>
    <xf numFmtId="0" fontId="0" fillId="0" borderId="0" xfId="0" applyAlignment="1">
      <alignment vertical="center" wrapText="1"/>
    </xf>
    <xf numFmtId="166" fontId="272" fillId="0" borderId="0" xfId="3" applyNumberFormat="1" applyFont="1"/>
    <xf numFmtId="0" fontId="272" fillId="0" borderId="0" xfId="0" applyFont="1"/>
    <xf numFmtId="166" fontId="272" fillId="0" borderId="0" xfId="3" applyNumberFormat="1" applyFont="1" applyAlignment="1">
      <alignment wrapText="1"/>
    </xf>
    <xf numFmtId="0" fontId="273" fillId="0" borderId="13" xfId="0" applyFont="1" applyBorder="1" applyAlignment="1">
      <alignment vertical="center" wrapText="1"/>
    </xf>
    <xf numFmtId="0" fontId="273" fillId="0" borderId="11" xfId="0" applyFont="1" applyBorder="1" applyAlignment="1">
      <alignment vertical="center" wrapText="1"/>
    </xf>
    <xf numFmtId="0" fontId="281" fillId="0" borderId="11" xfId="0" applyFont="1" applyBorder="1" applyAlignment="1">
      <alignment vertical="center" wrapText="1"/>
    </xf>
    <xf numFmtId="0" fontId="0" fillId="0" borderId="11" xfId="0" applyBorder="1" applyAlignment="1">
      <alignment vertical="center" wrapText="1"/>
    </xf>
    <xf numFmtId="0" fontId="272" fillId="0" borderId="11" xfId="0" applyFont="1" applyBorder="1" applyAlignment="1">
      <alignment vertical="center" wrapText="1"/>
    </xf>
    <xf numFmtId="166" fontId="273"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wrapText="1"/>
    </xf>
    <xf numFmtId="0" fontId="281" fillId="0" borderId="11" xfId="0" applyFont="1" applyBorder="1" applyAlignment="1">
      <alignment horizontal="center" vertical="center"/>
    </xf>
    <xf numFmtId="166" fontId="281" fillId="0" borderId="11" xfId="3" applyNumberFormat="1" applyFont="1" applyBorder="1" applyAlignment="1">
      <alignment vertical="center"/>
    </xf>
    <xf numFmtId="166" fontId="272"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2" fillId="0" borderId="11" xfId="0" applyFont="1" applyBorder="1" applyAlignment="1">
      <alignment horizontal="center" vertical="center"/>
    </xf>
    <xf numFmtId="166" fontId="272"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2" fillId="0" borderId="12" xfId="3" applyNumberFormat="1" applyFont="1" applyBorder="1" applyAlignment="1">
      <alignment vertical="center" wrapText="1"/>
    </xf>
    <xf numFmtId="166" fontId="273"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2"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0"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2"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144" applyNumberFormat="1" applyFont="1" applyFill="1"/>
    <xf numFmtId="0" fontId="250"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2"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5" fillId="0" borderId="0" xfId="1" applyNumberFormat="1" applyFont="1"/>
    <xf numFmtId="37" fontId="274" fillId="0" borderId="0" xfId="1" applyNumberFormat="1" applyFont="1"/>
    <xf numFmtId="37" fontId="293" fillId="0" borderId="0" xfId="1" applyNumberFormat="1" applyFont="1"/>
    <xf numFmtId="166" fontId="293" fillId="0" borderId="0" xfId="1" applyNumberFormat="1" applyFont="1"/>
    <xf numFmtId="0" fontId="293"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2"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1"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7"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5" fillId="0" borderId="3" xfId="5793" applyFont="1" applyFill="1" applyBorder="1" applyAlignment="1">
      <alignment horizontal="center" vertical="center"/>
    </xf>
    <xf numFmtId="166" fontId="285" fillId="0" borderId="3" xfId="3" applyNumberFormat="1" applyFont="1" applyFill="1" applyBorder="1" applyAlignment="1">
      <alignment horizontal="right" vertical="center" wrapText="1"/>
    </xf>
    <xf numFmtId="0" fontId="285"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294" fillId="0" borderId="0" xfId="1" applyFont="1"/>
    <xf numFmtId="0" fontId="14" fillId="0" borderId="3" xfId="1" applyFont="1" applyFill="1" applyBorder="1" applyAlignment="1">
      <alignment vertical="center" wrapText="1"/>
    </xf>
    <xf numFmtId="166" fontId="14" fillId="0" borderId="3" xfId="3" applyNumberFormat="1" applyFont="1" applyFill="1" applyBorder="1" applyAlignment="1">
      <alignment vertical="center" wrapText="1"/>
    </xf>
    <xf numFmtId="166" fontId="14" fillId="0" borderId="3" xfId="1" applyNumberFormat="1" applyFont="1" applyFill="1" applyBorder="1" applyAlignment="1">
      <alignment vertical="center" wrapText="1"/>
    </xf>
    <xf numFmtId="166" fontId="15" fillId="0" borderId="11" xfId="1" applyNumberFormat="1" applyFont="1" applyFill="1" applyBorder="1" applyAlignment="1">
      <alignment vertical="center" wrapText="1"/>
    </xf>
    <xf numFmtId="0" fontId="15" fillId="0" borderId="4" xfId="1" applyFont="1" applyFill="1" applyBorder="1" applyAlignment="1">
      <alignment horizontal="center" vertical="center" wrapText="1"/>
    </xf>
    <xf numFmtId="0" fontId="15" fillId="0" borderId="4" xfId="1" applyFont="1" applyFill="1" applyBorder="1" applyAlignment="1">
      <alignment vertical="center" wrapText="1"/>
    </xf>
    <xf numFmtId="166" fontId="15" fillId="0" borderId="4" xfId="3" applyNumberFormat="1" applyFont="1" applyFill="1" applyBorder="1" applyAlignment="1">
      <alignment vertical="center" wrapText="1"/>
    </xf>
    <xf numFmtId="166" fontId="15" fillId="0" borderId="12" xfId="1" applyNumberFormat="1" applyFont="1" applyFill="1" applyBorder="1" applyAlignment="1">
      <alignment vertical="center" wrapText="1"/>
    </xf>
    <xf numFmtId="0" fontId="296" fillId="0" borderId="0" xfId="1" applyFont="1"/>
    <xf numFmtId="0" fontId="15" fillId="0" borderId="1" xfId="1" applyFont="1" applyFill="1" applyBorder="1" applyAlignment="1">
      <alignment horizontal="center" vertical="center" wrapText="1"/>
    </xf>
    <xf numFmtId="0" fontId="276" fillId="0" borderId="0" xfId="5795" applyFont="1" applyAlignment="1">
      <alignment horizontal="center" vertical="center" wrapText="1"/>
    </xf>
    <xf numFmtId="0" fontId="280"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2"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2" fillId="0" borderId="9" xfId="5332" applyFont="1" applyFill="1" applyBorder="1" applyAlignment="1">
      <alignment horizontal="right" vertical="center"/>
    </xf>
    <xf numFmtId="0" fontId="291" fillId="0" borderId="0" xfId="3144" applyFont="1" applyFill="1" applyAlignment="1">
      <alignment horizontal="center" vertical="center"/>
    </xf>
    <xf numFmtId="169" fontId="247" fillId="0" borderId="1" xfId="3144" applyNumberFormat="1"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2" fillId="0" borderId="1" xfId="1" applyFont="1" applyFill="1" applyBorder="1" applyAlignment="1">
      <alignment horizontal="center" vertical="center" wrapText="1"/>
    </xf>
    <xf numFmtId="0" fontId="282" fillId="0" borderId="9" xfId="0" applyFont="1" applyFill="1" applyBorder="1" applyAlignment="1">
      <alignment horizontal="right" vertical="center"/>
    </xf>
    <xf numFmtId="0" fontId="14" fillId="0" borderId="6" xfId="1" applyFont="1" applyFill="1" applyBorder="1" applyAlignment="1">
      <alignment horizontal="center" vertical="center" wrapText="1"/>
    </xf>
    <xf numFmtId="0" fontId="14" fillId="0" borderId="15" xfId="1" applyFont="1" applyFill="1" applyBorder="1" applyAlignment="1">
      <alignment horizontal="center" vertical="center" wrapText="1"/>
    </xf>
    <xf numFmtId="0" fontId="14" fillId="0" borderId="7" xfId="1" applyFont="1" applyFill="1" applyBorder="1" applyAlignment="1">
      <alignment horizontal="center" vertical="center" wrapText="1"/>
    </xf>
    <xf numFmtId="0" fontId="15" fillId="0" borderId="0" xfId="1" applyFont="1" applyAlignment="1">
      <alignment horizontal="center" vertical="center" wrapText="1"/>
    </xf>
    <xf numFmtId="0" fontId="14" fillId="0" borderId="0" xfId="1" applyFont="1" applyAlignment="1">
      <alignment horizontal="center" vertical="center"/>
    </xf>
    <xf numFmtId="0" fontId="295" fillId="0" borderId="0" xfId="1" applyFont="1" applyAlignment="1">
      <alignment horizontal="center" vertical="center" wrapText="1"/>
    </xf>
    <xf numFmtId="0" fontId="297" fillId="0" borderId="0" xfId="1" applyFont="1" applyAlignment="1">
      <alignment horizontal="center" vertical="center" wrapText="1"/>
    </xf>
    <xf numFmtId="0" fontId="14" fillId="0" borderId="3" xfId="1" applyFont="1" applyFill="1" applyBorder="1" applyAlignment="1">
      <alignment horizontal="center" vertical="center" wrapText="1"/>
    </xf>
    <xf numFmtId="0" fontId="14" fillId="0" borderId="5"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5" fillId="0" borderId="3" xfId="1" applyFont="1" applyFill="1" applyBorder="1" applyAlignment="1">
      <alignment horizontal="center" vertical="center" wrapText="1"/>
    </xf>
    <xf numFmtId="0" fontId="15" fillId="0" borderId="5" xfId="1" applyFont="1" applyFill="1" applyBorder="1" applyAlignment="1">
      <alignment horizontal="center" vertical="center" wrapText="1"/>
    </xf>
    <xf numFmtId="0" fontId="15" fillId="0" borderId="4" xfId="1" applyFont="1" applyFill="1" applyBorder="1" applyAlignment="1">
      <alignment horizontal="center" vertical="center" wrapText="1"/>
    </xf>
    <xf numFmtId="0" fontId="15" fillId="0" borderId="6" xfId="1" applyFont="1" applyFill="1" applyBorder="1" applyAlignment="1">
      <alignment horizontal="center" vertical="center" wrapText="1"/>
    </xf>
    <xf numFmtId="0" fontId="15" fillId="0" borderId="15" xfId="1" applyFont="1" applyFill="1" applyBorder="1" applyAlignment="1">
      <alignment horizontal="center" vertical="center" wrapText="1"/>
    </xf>
    <xf numFmtId="0" fontId="15" fillId="0" borderId="7" xfId="1" applyFont="1" applyFill="1" applyBorder="1" applyAlignment="1">
      <alignment horizontal="center" vertical="center" wrapText="1"/>
    </xf>
    <xf numFmtId="0" fontId="282"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7" fillId="0" borderId="0" xfId="1" applyFont="1" applyFill="1" applyAlignment="1">
      <alignment horizontal="center" vertical="center" wrapText="1"/>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282" fillId="0" borderId="9" xfId="1" applyFont="1" applyFill="1" applyBorder="1" applyAlignment="1">
      <alignment horizontal="center" vertical="center"/>
    </xf>
    <xf numFmtId="169" fontId="23"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0" fontId="14" fillId="0" borderId="0" xfId="1" applyFont="1" applyAlignment="1">
      <alignment horizontal="center" vertical="center" wrapText="1"/>
    </xf>
    <xf numFmtId="0" fontId="282" fillId="0" borderId="0" xfId="1" applyFont="1" applyAlignment="1">
      <alignment horizontal="left"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2" fillId="0" borderId="0" xfId="0" applyFont="1" applyFill="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2" customWidth="1"/>
    <col min="2" max="2" width="28.140625" style="42" customWidth="1"/>
    <col min="3" max="3" width="16" style="42" customWidth="1"/>
    <col min="4" max="4" width="18.42578125" style="42" customWidth="1"/>
    <col min="5" max="5" width="15.28515625" style="42" customWidth="1"/>
    <col min="6" max="6" width="9.140625" style="42"/>
    <col min="7" max="7" width="11.28515625" style="42" bestFit="1" customWidth="1"/>
    <col min="8" max="16384" width="9.140625" style="42"/>
  </cols>
  <sheetData>
    <row r="1" spans="1:7">
      <c r="C1" s="443" t="s">
        <v>98</v>
      </c>
      <c r="D1" s="443"/>
      <c r="E1" s="443"/>
    </row>
    <row r="2" spans="1:7" ht="16.5" customHeight="1">
      <c r="C2" s="444" t="s">
        <v>104</v>
      </c>
      <c r="D2" s="444"/>
      <c r="E2" s="444"/>
    </row>
    <row r="3" spans="1:7">
      <c r="C3" s="444"/>
      <c r="D3" s="444"/>
      <c r="E3" s="444"/>
    </row>
    <row r="4" spans="1:7" s="43" customFormat="1" ht="52.5" customHeight="1">
      <c r="B4" s="441" t="s">
        <v>1513</v>
      </c>
      <c r="C4" s="441"/>
      <c r="D4" s="441"/>
      <c r="E4" s="441"/>
    </row>
    <row r="5" spans="1:7" s="43" customFormat="1" ht="10.5" customHeight="1">
      <c r="A5" s="443"/>
      <c r="B5" s="443"/>
      <c r="C5" s="443"/>
      <c r="D5" s="443"/>
      <c r="E5" s="443"/>
    </row>
    <row r="6" spans="1:7">
      <c r="D6" s="442" t="s">
        <v>1185</v>
      </c>
      <c r="E6" s="442"/>
    </row>
    <row r="7" spans="1:7" ht="33">
      <c r="A7" s="44" t="s">
        <v>1</v>
      </c>
      <c r="B7" s="44" t="s">
        <v>2</v>
      </c>
      <c r="C7" s="44" t="s">
        <v>1112</v>
      </c>
      <c r="D7" s="44" t="s">
        <v>1113</v>
      </c>
      <c r="E7" s="44" t="s">
        <v>32</v>
      </c>
    </row>
    <row r="8" spans="1:7" s="45" customFormat="1">
      <c r="A8" s="273" t="s">
        <v>3</v>
      </c>
      <c r="B8" s="273" t="s">
        <v>4</v>
      </c>
      <c r="C8" s="273">
        <v>1</v>
      </c>
      <c r="D8" s="273">
        <v>2</v>
      </c>
      <c r="E8" s="273" t="s">
        <v>41</v>
      </c>
    </row>
    <row r="9" spans="1:7" ht="19.5" customHeight="1">
      <c r="A9" s="243"/>
      <c r="B9" s="243" t="s">
        <v>53</v>
      </c>
      <c r="C9" s="244">
        <f>+SUM(C10:C18)</f>
        <v>1110687</v>
      </c>
      <c r="D9" s="244">
        <f>+SUM(D10:D18)</f>
        <v>1365918.786692</v>
      </c>
      <c r="E9" s="245">
        <f>+D9/C9*100</f>
        <v>122.9796321278632</v>
      </c>
    </row>
    <row r="10" spans="1:7" s="45" customFormat="1" ht="33">
      <c r="A10" s="239">
        <v>1</v>
      </c>
      <c r="B10" s="240" t="s">
        <v>99</v>
      </c>
      <c r="C10" s="241">
        <v>108132</v>
      </c>
      <c r="D10" s="241">
        <v>130039.82475100001</v>
      </c>
      <c r="E10" s="242">
        <f>+D10/C10*100</f>
        <v>120.26026037713167</v>
      </c>
    </row>
    <row r="11" spans="1:7" s="45" customFormat="1" ht="33">
      <c r="A11" s="46">
        <v>2</v>
      </c>
      <c r="B11" s="47" t="s">
        <v>100</v>
      </c>
      <c r="C11" s="48">
        <v>1670</v>
      </c>
      <c r="D11" s="48">
        <v>2564.86</v>
      </c>
      <c r="E11" s="49">
        <f>+D11/C11*100</f>
        <v>153.58443113772455</v>
      </c>
    </row>
    <row r="12" spans="1:7" s="45" customFormat="1">
      <c r="A12" s="46">
        <v>3</v>
      </c>
      <c r="B12" s="47" t="s">
        <v>101</v>
      </c>
      <c r="C12" s="50">
        <v>842212</v>
      </c>
      <c r="D12" s="50">
        <v>968183.7</v>
      </c>
      <c r="E12" s="49">
        <f>+D12/C12*100</f>
        <v>114.95724354438074</v>
      </c>
      <c r="G12" s="51"/>
    </row>
    <row r="13" spans="1:7" s="45" customFormat="1" ht="33">
      <c r="A13" s="46">
        <v>5</v>
      </c>
      <c r="B13" s="47" t="s">
        <v>102</v>
      </c>
      <c r="C13" s="48">
        <v>16000</v>
      </c>
      <c r="D13" s="48">
        <v>20121</v>
      </c>
      <c r="E13" s="49">
        <f t="shared" ref="E13:E18" si="0">+D13/C13*100</f>
        <v>125.75624999999999</v>
      </c>
    </row>
    <row r="14" spans="1:7" s="45" customFormat="1">
      <c r="A14" s="46">
        <v>6</v>
      </c>
      <c r="B14" s="47" t="s">
        <v>103</v>
      </c>
      <c r="C14" s="52">
        <v>500</v>
      </c>
      <c r="D14" s="52">
        <v>512</v>
      </c>
      <c r="E14" s="49">
        <f t="shared" si="0"/>
        <v>102.4</v>
      </c>
    </row>
    <row r="15" spans="1:7" s="45" customFormat="1">
      <c r="A15" s="46">
        <v>7</v>
      </c>
      <c r="B15" s="47" t="s">
        <v>1514</v>
      </c>
      <c r="C15" s="52">
        <v>500</v>
      </c>
      <c r="D15" s="52">
        <v>3480</v>
      </c>
      <c r="E15" s="49">
        <f t="shared" si="0"/>
        <v>696</v>
      </c>
    </row>
    <row r="16" spans="1:7" s="45" customFormat="1">
      <c r="A16" s="46">
        <v>8</v>
      </c>
      <c r="B16" s="47" t="s">
        <v>1186</v>
      </c>
      <c r="C16" s="48">
        <v>129240</v>
      </c>
      <c r="D16" s="48">
        <v>232024.67365499999</v>
      </c>
      <c r="E16" s="49">
        <f t="shared" si="0"/>
        <v>179.53007865598886</v>
      </c>
    </row>
    <row r="17" spans="1:5" s="45" customFormat="1">
      <c r="A17" s="53">
        <v>9</v>
      </c>
      <c r="B17" s="54" t="s">
        <v>1187</v>
      </c>
      <c r="C17" s="55">
        <v>11883</v>
      </c>
      <c r="D17" s="55">
        <v>7991</v>
      </c>
      <c r="E17" s="49">
        <f t="shared" si="0"/>
        <v>67.247328115795682</v>
      </c>
    </row>
    <row r="18" spans="1:5" s="45" customFormat="1">
      <c r="A18" s="56">
        <v>10</v>
      </c>
      <c r="B18" s="408" t="s">
        <v>1188</v>
      </c>
      <c r="C18" s="57">
        <v>550</v>
      </c>
      <c r="D18" s="57">
        <v>1001.728286</v>
      </c>
      <c r="E18" s="58">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74"/>
    <col min="2" max="2" width="44.85546875" style="292" customWidth="1"/>
    <col min="3" max="3" width="13.28515625" style="208" customWidth="1"/>
    <col min="4" max="4" width="27.140625" style="295" customWidth="1"/>
    <col min="5" max="5" width="15.5703125" style="208" customWidth="1"/>
    <col min="6" max="6" width="11.5703125" bestFit="1" customWidth="1"/>
  </cols>
  <sheetData>
    <row r="1" spans="1:5">
      <c r="A1" s="303"/>
      <c r="B1" s="296" t="s">
        <v>1455</v>
      </c>
      <c r="C1" s="304"/>
      <c r="D1" s="317" t="s">
        <v>1146</v>
      </c>
    </row>
    <row r="2" spans="1:5" s="76" customFormat="1" ht="14.25">
      <c r="A2" s="305">
        <v>1</v>
      </c>
      <c r="B2" s="297" t="s">
        <v>1449</v>
      </c>
      <c r="C2" s="301" t="e">
        <f>+#REF!</f>
        <v>#REF!</v>
      </c>
      <c r="D2" s="306"/>
      <c r="E2" s="211"/>
    </row>
    <row r="3" spans="1:5" s="76" customFormat="1" ht="30">
      <c r="A3" s="305">
        <v>2</v>
      </c>
      <c r="B3" s="297" t="s">
        <v>1453</v>
      </c>
      <c r="C3" s="301">
        <f>+C4+C6</f>
        <v>98675809.153274</v>
      </c>
      <c r="D3" s="309" t="s">
        <v>1512</v>
      </c>
      <c r="E3" s="211" t="e">
        <f>+C3-C2</f>
        <v>#REF!</v>
      </c>
    </row>
    <row r="4" spans="1:5" s="194" customFormat="1">
      <c r="A4" s="307" t="s">
        <v>1191</v>
      </c>
      <c r="B4" s="298" t="s">
        <v>1450</v>
      </c>
      <c r="C4" s="308">
        <f>+'49_NĐ31'!D9</f>
        <v>52138802.576418005</v>
      </c>
      <c r="D4" s="309"/>
      <c r="E4" s="291"/>
    </row>
    <row r="5" spans="1:5" s="194" customFormat="1">
      <c r="A5" s="307" t="s">
        <v>1192</v>
      </c>
      <c r="B5" s="298" t="s">
        <v>1451</v>
      </c>
      <c r="C5" s="308">
        <f>+'49_NĐ31'!D31</f>
        <v>54191871.878550991</v>
      </c>
      <c r="D5" s="309"/>
      <c r="E5" s="291"/>
    </row>
    <row r="6" spans="1:5" ht="30">
      <c r="A6" s="310" t="s">
        <v>1193</v>
      </c>
      <c r="B6" s="298" t="s">
        <v>1452</v>
      </c>
      <c r="C6" s="311">
        <f>+C5-'49_NĐ31'!D33</f>
        <v>46537006.576855995</v>
      </c>
      <c r="D6" s="309"/>
    </row>
    <row r="7" spans="1:5" s="76" customFormat="1" ht="14.25">
      <c r="A7" s="305">
        <v>3</v>
      </c>
      <c r="B7" s="297" t="s">
        <v>1454</v>
      </c>
      <c r="C7" s="301" t="e">
        <f>+#REF!</f>
        <v>#REF!</v>
      </c>
      <c r="D7" s="306"/>
      <c r="E7" s="211"/>
    </row>
    <row r="8" spans="1:5" ht="45">
      <c r="A8" s="310"/>
      <c r="B8" s="299" t="s">
        <v>1486</v>
      </c>
      <c r="C8" s="311" t="e">
        <f>+C2-C7</f>
        <v>#REF!</v>
      </c>
      <c r="D8" s="309" t="s">
        <v>1507</v>
      </c>
    </row>
    <row r="9" spans="1:5">
      <c r="A9" s="310"/>
      <c r="B9" s="299"/>
      <c r="C9" s="311"/>
      <c r="D9" s="309"/>
    </row>
    <row r="10" spans="1:5" s="76" customFormat="1" ht="14.25">
      <c r="A10" s="305"/>
      <c r="B10" s="297" t="s">
        <v>1456</v>
      </c>
      <c r="C10" s="301"/>
      <c r="D10" s="306"/>
      <c r="E10" s="211"/>
    </row>
    <row r="11" spans="1:5" s="76" customFormat="1" ht="14.25">
      <c r="A11" s="305">
        <v>1</v>
      </c>
      <c r="B11" s="297" t="s">
        <v>1457</v>
      </c>
      <c r="C11" s="301" t="e">
        <f>+#REF!</f>
        <v>#REF!</v>
      </c>
      <c r="D11" s="306"/>
      <c r="E11" s="211"/>
    </row>
    <row r="12" spans="1:5">
      <c r="A12" s="310" t="s">
        <v>1166</v>
      </c>
      <c r="B12" s="299" t="s">
        <v>1458</v>
      </c>
      <c r="C12" s="311" t="e">
        <f>+#REF!</f>
        <v>#REF!</v>
      </c>
      <c r="D12" s="309"/>
    </row>
    <row r="13" spans="1:5">
      <c r="A13" s="310"/>
      <c r="B13" s="299" t="s">
        <v>66</v>
      </c>
      <c r="C13" s="311"/>
      <c r="D13" s="309"/>
    </row>
    <row r="14" spans="1:5" s="194" customFormat="1">
      <c r="A14" s="307"/>
      <c r="B14" s="298" t="s">
        <v>1463</v>
      </c>
      <c r="C14" s="308" t="e">
        <f>+#REF!</f>
        <v>#REF!</v>
      </c>
      <c r="D14" s="309"/>
      <c r="E14" s="291"/>
    </row>
    <row r="15" spans="1:5" s="194" customFormat="1">
      <c r="A15" s="307"/>
      <c r="B15" s="298" t="s">
        <v>16</v>
      </c>
      <c r="C15" s="308" t="e">
        <f>+#REF!</f>
        <v>#REF!</v>
      </c>
      <c r="D15" s="309"/>
      <c r="E15" s="291"/>
    </row>
    <row r="16" spans="1:5" s="194" customFormat="1" ht="15.75">
      <c r="A16" s="307"/>
      <c r="B16" s="2" t="s">
        <v>17</v>
      </c>
      <c r="C16" s="308" t="e">
        <f>+#REF!</f>
        <v>#REF!</v>
      </c>
      <c r="D16" s="309"/>
      <c r="E16" s="291"/>
    </row>
    <row r="17" spans="1:6" s="194" customFormat="1" ht="15.75">
      <c r="A17" s="307"/>
      <c r="B17" s="87" t="s">
        <v>28</v>
      </c>
      <c r="C17" s="308" t="e">
        <f>+#REF!</f>
        <v>#REF!</v>
      </c>
      <c r="D17" s="309"/>
      <c r="E17" s="291"/>
    </row>
    <row r="18" spans="1:6" s="194" customFormat="1" ht="47.25">
      <c r="A18" s="307"/>
      <c r="B18" s="87" t="s">
        <v>1433</v>
      </c>
      <c r="C18" s="308" t="e">
        <f>+#REF!</f>
        <v>#REF!</v>
      </c>
      <c r="D18" s="309"/>
      <c r="E18" s="291"/>
    </row>
    <row r="19" spans="1:6" ht="15.75">
      <c r="A19" s="310" t="s">
        <v>1167</v>
      </c>
      <c r="B19" s="1" t="s">
        <v>29</v>
      </c>
      <c r="C19" s="311" t="e">
        <f>+#REF!</f>
        <v>#REF!</v>
      </c>
      <c r="D19" s="309"/>
    </row>
    <row r="20" spans="1:6" s="294" customFormat="1" ht="15.75">
      <c r="A20" s="312" t="s">
        <v>1171</v>
      </c>
      <c r="B20" s="1" t="s">
        <v>30</v>
      </c>
      <c r="C20" s="313" t="e">
        <f>+#REF!</f>
        <v>#REF!</v>
      </c>
      <c r="D20" s="309"/>
      <c r="E20" s="293"/>
    </row>
    <row r="21" spans="1:6" s="294" customFormat="1" ht="15.75">
      <c r="A21" s="312" t="s">
        <v>1190</v>
      </c>
      <c r="B21" s="277" t="s">
        <v>1104</v>
      </c>
      <c r="C21" s="313" t="e">
        <f>+#REF!</f>
        <v>#REF!</v>
      </c>
      <c r="D21" s="309"/>
      <c r="E21" s="293"/>
    </row>
    <row r="22" spans="1:6" s="76" customFormat="1" ht="14.25">
      <c r="A22" s="305">
        <v>2</v>
      </c>
      <c r="B22" s="297" t="s">
        <v>1508</v>
      </c>
      <c r="C22" s="301"/>
      <c r="D22" s="306"/>
      <c r="E22" s="211"/>
    </row>
    <row r="23" spans="1:6">
      <c r="A23" s="310" t="s">
        <v>1191</v>
      </c>
      <c r="B23" s="299" t="s">
        <v>1459</v>
      </c>
      <c r="C23" s="311">
        <f>+'49_NĐ31'!D21</f>
        <v>20076127.446691997</v>
      </c>
      <c r="D23" s="309"/>
    </row>
    <row r="24" spans="1:6" ht="30">
      <c r="A24" s="310" t="s">
        <v>1192</v>
      </c>
      <c r="B24" s="299" t="s">
        <v>1461</v>
      </c>
      <c r="C24" s="311">
        <f>+C23-7654865</f>
        <v>12421262.446691997</v>
      </c>
      <c r="D24" s="309"/>
    </row>
    <row r="25" spans="1:6">
      <c r="A25" s="310" t="s">
        <v>1193</v>
      </c>
      <c r="B25" s="299" t="s">
        <v>1460</v>
      </c>
      <c r="C25" s="311">
        <f>+'49_NĐ31'!D40</f>
        <v>21150793.408598997</v>
      </c>
      <c r="D25" s="309"/>
    </row>
    <row r="26" spans="1:6">
      <c r="A26" s="305">
        <v>3</v>
      </c>
      <c r="B26" s="297" t="s">
        <v>1487</v>
      </c>
      <c r="C26" s="301" t="e">
        <f>+#REF!</f>
        <v>#REF!</v>
      </c>
      <c r="D26" s="309" t="s">
        <v>1509</v>
      </c>
      <c r="E26" s="208">
        <v>27196299</v>
      </c>
      <c r="F26" s="75" t="e">
        <f>+#REF!+#REF!</f>
        <v>#REF!</v>
      </c>
    </row>
    <row r="27" spans="1:6" s="294" customFormat="1">
      <c r="A27" s="312" t="s">
        <v>1194</v>
      </c>
      <c r="B27" s="300" t="s">
        <v>1488</v>
      </c>
      <c r="C27" s="313" t="e">
        <f>+#REF!</f>
        <v>#REF!</v>
      </c>
      <c r="D27" s="309" t="s">
        <v>1485</v>
      </c>
      <c r="E27" s="293"/>
    </row>
    <row r="28" spans="1:6">
      <c r="A28" s="305"/>
      <c r="B28" s="299" t="s">
        <v>66</v>
      </c>
      <c r="C28" s="301"/>
      <c r="D28" s="309"/>
    </row>
    <row r="29" spans="1:6" s="194" customFormat="1">
      <c r="A29" s="307"/>
      <c r="B29" s="298" t="s">
        <v>1462</v>
      </c>
      <c r="C29" s="308" t="e">
        <f>+#REF!</f>
        <v>#REF!</v>
      </c>
      <c r="D29" s="309"/>
      <c r="E29" s="291"/>
    </row>
    <row r="30" spans="1:6" s="194" customFormat="1">
      <c r="A30" s="307"/>
      <c r="B30" s="298" t="s">
        <v>16</v>
      </c>
      <c r="C30" s="308" t="e">
        <f>+#REF!</f>
        <v>#REF!</v>
      </c>
      <c r="D30" s="309"/>
      <c r="E30" s="291"/>
    </row>
    <row r="31" spans="1:6" s="194" customFormat="1" ht="15.75">
      <c r="A31" s="307"/>
      <c r="B31" s="2" t="s">
        <v>17</v>
      </c>
      <c r="C31" s="308" t="e">
        <f>+#REF!</f>
        <v>#REF!</v>
      </c>
      <c r="D31" s="309"/>
      <c r="E31" s="291"/>
    </row>
    <row r="32" spans="1:6" s="194" customFormat="1" ht="15.75">
      <c r="A32" s="307"/>
      <c r="B32" s="87" t="s">
        <v>28</v>
      </c>
      <c r="C32" s="308" t="e">
        <f>+#REF!</f>
        <v>#REF!</v>
      </c>
      <c r="D32" s="309"/>
      <c r="E32" s="291"/>
    </row>
    <row r="33" spans="1:6" s="194" customFormat="1" ht="47.25">
      <c r="A33" s="307"/>
      <c r="B33" s="87" t="s">
        <v>1433</v>
      </c>
      <c r="C33" s="308" t="e">
        <f>+#REF!</f>
        <v>#REF!</v>
      </c>
      <c r="D33" s="309"/>
      <c r="E33" s="291"/>
    </row>
    <row r="34" spans="1:6" ht="15.75">
      <c r="A34" s="310" t="s">
        <v>1195</v>
      </c>
      <c r="B34" s="1" t="s">
        <v>1483</v>
      </c>
      <c r="C34" s="311" t="e">
        <f>+#REF!</f>
        <v>#REF!</v>
      </c>
      <c r="D34" s="309" t="s">
        <v>1485</v>
      </c>
    </row>
    <row r="35" spans="1:6" ht="15.75">
      <c r="A35" s="310" t="s">
        <v>1196</v>
      </c>
      <c r="B35" s="1" t="s">
        <v>30</v>
      </c>
      <c r="C35" s="311" t="e">
        <f>+#REF!</f>
        <v>#REF!</v>
      </c>
      <c r="D35" s="309" t="s">
        <v>1485</v>
      </c>
    </row>
    <row r="36" spans="1:6" ht="15.75">
      <c r="A36" s="310" t="s">
        <v>1197</v>
      </c>
      <c r="B36" s="277" t="s">
        <v>1484</v>
      </c>
      <c r="C36" s="311" t="e">
        <f>+#REF!</f>
        <v>#REF!</v>
      </c>
      <c r="D36" s="309" t="s">
        <v>1485</v>
      </c>
    </row>
    <row r="37" spans="1:6" s="76" customFormat="1" ht="30">
      <c r="A37" s="305">
        <v>4</v>
      </c>
      <c r="B37" s="297" t="s">
        <v>1481</v>
      </c>
      <c r="C37" s="301" t="e">
        <f>+#REF!</f>
        <v>#REF!</v>
      </c>
      <c r="D37" s="309" t="s">
        <v>1482</v>
      </c>
      <c r="E37" s="211"/>
    </row>
    <row r="38" spans="1:6" s="76" customFormat="1">
      <c r="A38" s="305">
        <v>5</v>
      </c>
      <c r="B38" s="297" t="s">
        <v>1479</v>
      </c>
      <c r="C38" s="301" t="e">
        <f>+#REF!</f>
        <v>#REF!</v>
      </c>
      <c r="D38" s="309" t="s">
        <v>1480</v>
      </c>
      <c r="E38" s="211"/>
    </row>
    <row r="39" spans="1:6" ht="45">
      <c r="A39" s="310" t="s">
        <v>1464</v>
      </c>
      <c r="B39" s="299" t="s">
        <v>1476</v>
      </c>
      <c r="C39" s="311" t="e">
        <f>+#REF!</f>
        <v>#REF!</v>
      </c>
      <c r="D39" s="309" t="s">
        <v>1478</v>
      </c>
      <c r="E39" s="208">
        <f>20076127+160000</f>
        <v>20236127</v>
      </c>
      <c r="F39" s="75" t="e">
        <f>+E39-C39</f>
        <v>#REF!</v>
      </c>
    </row>
    <row r="40" spans="1:6">
      <c r="A40" s="310" t="s">
        <v>1465</v>
      </c>
      <c r="B40" s="299" t="s">
        <v>1460</v>
      </c>
      <c r="C40" s="311" t="e">
        <f>+#REF!</f>
        <v>#REF!</v>
      </c>
      <c r="D40" s="309" t="s">
        <v>1477</v>
      </c>
    </row>
    <row r="41" spans="1:6" ht="28.5">
      <c r="A41" s="305">
        <v>6</v>
      </c>
      <c r="B41" s="297" t="s">
        <v>1469</v>
      </c>
      <c r="C41" s="301" t="e">
        <f>+#REF!+#REF!+#REF!</f>
        <v>#REF!</v>
      </c>
      <c r="D41" s="309"/>
    </row>
    <row r="42" spans="1:6" s="76" customFormat="1" ht="14.25">
      <c r="A42" s="305"/>
      <c r="B42" s="297" t="s">
        <v>66</v>
      </c>
      <c r="C42" s="301"/>
      <c r="D42" s="306"/>
      <c r="E42" s="211"/>
    </row>
    <row r="43" spans="1:6">
      <c r="A43" s="310"/>
      <c r="B43" s="299" t="s">
        <v>1466</v>
      </c>
      <c r="C43" s="311" t="e">
        <f>+#REF!</f>
        <v>#REF!</v>
      </c>
      <c r="D43" s="309"/>
    </row>
    <row r="44" spans="1:6">
      <c r="A44" s="310"/>
      <c r="B44" s="299" t="s">
        <v>1467</v>
      </c>
      <c r="C44" s="311" t="e">
        <f>+#REF!</f>
        <v>#REF!</v>
      </c>
      <c r="D44" s="309"/>
    </row>
    <row r="45" spans="1:6">
      <c r="A45" s="310"/>
      <c r="B45" s="299" t="s">
        <v>1468</v>
      </c>
      <c r="C45" s="311" t="e">
        <f>+#REF!</f>
        <v>#REF!</v>
      </c>
      <c r="D45" s="309"/>
    </row>
    <row r="46" spans="1:6" ht="45">
      <c r="A46" s="310"/>
      <c r="B46" s="297" t="s">
        <v>1470</v>
      </c>
      <c r="C46" s="301" t="e">
        <f>+C41-C39</f>
        <v>#REF!</v>
      </c>
      <c r="D46" s="309" t="s">
        <v>1510</v>
      </c>
      <c r="E46" s="208">
        <v>4879016</v>
      </c>
      <c r="F46" s="75" t="e">
        <f>+E46-C46</f>
        <v>#REF!</v>
      </c>
    </row>
    <row r="47" spans="1:6" s="76" customFormat="1" ht="45">
      <c r="A47" s="305">
        <v>7</v>
      </c>
      <c r="B47" s="297" t="s">
        <v>1474</v>
      </c>
      <c r="C47" s="301">
        <f>+'Bieu mau 55-NĐ31'!D10</f>
        <v>2711744.378759</v>
      </c>
      <c r="D47" s="309" t="s">
        <v>1475</v>
      </c>
      <c r="E47" s="211"/>
    </row>
    <row r="48" spans="1:6" s="76" customFormat="1" ht="60">
      <c r="A48" s="305">
        <v>8</v>
      </c>
      <c r="B48" s="297" t="s">
        <v>1471</v>
      </c>
      <c r="C48" s="301">
        <f>+'56_NĐ31'!D12</f>
        <v>2713620.649604999</v>
      </c>
      <c r="D48" s="309" t="s">
        <v>1511</v>
      </c>
      <c r="E48" s="211">
        <f>2636996+8750+67875</f>
        <v>2713621</v>
      </c>
    </row>
    <row r="49" spans="1:5" s="76" customFormat="1">
      <c r="A49" s="305">
        <v>9</v>
      </c>
      <c r="B49" s="297" t="s">
        <v>1472</v>
      </c>
      <c r="C49" s="301">
        <f>+'57_NĐ31'!G11</f>
        <v>2713620.649604999</v>
      </c>
      <c r="D49" s="309" t="s">
        <v>1473</v>
      </c>
      <c r="E49" s="211"/>
    </row>
    <row r="50" spans="1:5" s="76" customFormat="1" ht="28.5">
      <c r="A50" s="305">
        <v>10</v>
      </c>
      <c r="B50" s="297" t="s">
        <v>1489</v>
      </c>
      <c r="C50" s="301" t="e">
        <f>+#REF!+#REF!+#REF!</f>
        <v>#REF!</v>
      </c>
      <c r="D50" s="306" t="s">
        <v>1490</v>
      </c>
      <c r="E50" s="211"/>
    </row>
    <row r="51" spans="1:5">
      <c r="A51" s="310"/>
      <c r="B51" s="299" t="s">
        <v>66</v>
      </c>
      <c r="C51" s="311"/>
      <c r="D51" s="309"/>
    </row>
    <row r="52" spans="1:5" s="194" customFormat="1" ht="30">
      <c r="A52" s="307"/>
      <c r="B52" s="298" t="s">
        <v>1491</v>
      </c>
      <c r="C52" s="308" t="e">
        <f>+#REF!</f>
        <v>#REF!</v>
      </c>
      <c r="D52" s="309" t="s">
        <v>1492</v>
      </c>
      <c r="E52" s="291"/>
    </row>
    <row r="53" spans="1:5" s="194" customFormat="1" ht="30">
      <c r="A53" s="307"/>
      <c r="B53" s="298" t="s">
        <v>1494</v>
      </c>
      <c r="C53" s="308" t="e">
        <f>+#REF!</f>
        <v>#REF!</v>
      </c>
      <c r="D53" s="309" t="s">
        <v>1490</v>
      </c>
      <c r="E53" s="291"/>
    </row>
    <row r="54" spans="1:5" s="194" customFormat="1" ht="30">
      <c r="A54" s="307"/>
      <c r="B54" s="298" t="s">
        <v>1493</v>
      </c>
      <c r="C54" s="308" t="e">
        <f>+#REF!</f>
        <v>#REF!</v>
      </c>
      <c r="D54" s="309" t="s">
        <v>1490</v>
      </c>
      <c r="E54" s="291"/>
    </row>
    <row r="55" spans="1:5" s="76" customFormat="1" ht="30">
      <c r="A55" s="305">
        <v>11</v>
      </c>
      <c r="B55" s="297" t="s">
        <v>1495</v>
      </c>
      <c r="C55" s="301">
        <f>+'60_NĐ31 Thu(Huyen, xa)'!C10</f>
        <v>15212171.609818999</v>
      </c>
      <c r="D55" s="309" t="s">
        <v>1496</v>
      </c>
      <c r="E55" s="211"/>
    </row>
    <row r="56" spans="1:5" ht="30">
      <c r="A56" s="305">
        <v>12</v>
      </c>
      <c r="B56" s="297" t="s">
        <v>1497</v>
      </c>
      <c r="C56" s="301" t="e">
        <f>+#REF!</f>
        <v>#REF!</v>
      </c>
      <c r="D56" s="309" t="s">
        <v>1498</v>
      </c>
    </row>
    <row r="57" spans="1:5" s="76" customFormat="1" ht="14.25">
      <c r="A57" s="305">
        <v>13</v>
      </c>
      <c r="B57" s="297" t="s">
        <v>1499</v>
      </c>
      <c r="C57" s="301">
        <f>+' 62_NĐ31_'!Y12</f>
        <v>2564970.9527529986</v>
      </c>
      <c r="D57" s="306"/>
      <c r="E57" s="211"/>
    </row>
    <row r="58" spans="1:5" ht="60">
      <c r="A58" s="314"/>
      <c r="B58" s="302" t="s">
        <v>1500</v>
      </c>
      <c r="C58" s="315">
        <f>+C47-C57+1</f>
        <v>146774.42600600142</v>
      </c>
      <c r="D58" s="316" t="s">
        <v>1501</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54" customWidth="1"/>
    <col min="2" max="2" width="7" style="154" hidden="1" customWidth="1"/>
    <col min="3" max="3" width="11.28515625" style="154" hidden="1" customWidth="1"/>
    <col min="4" max="4" width="23.140625" style="154" customWidth="1"/>
    <col min="5" max="5" width="10.42578125" style="154" customWidth="1"/>
    <col min="6" max="6" width="10.28515625" style="154" hidden="1" customWidth="1"/>
    <col min="7" max="7" width="11.7109375" style="154" hidden="1" customWidth="1"/>
    <col min="8" max="8" width="9.28515625" style="154" hidden="1" customWidth="1"/>
    <col min="9" max="9" width="11.28515625" style="154" hidden="1" customWidth="1"/>
    <col min="10" max="10" width="10.5703125" style="154" hidden="1" customWidth="1"/>
    <col min="11" max="11" width="8.85546875" style="154" hidden="1" customWidth="1"/>
    <col min="12" max="12" width="10.28515625" style="154" hidden="1" customWidth="1"/>
    <col min="13" max="13" width="11.42578125" style="154" hidden="1" customWidth="1"/>
    <col min="14" max="14" width="8.42578125" style="154" hidden="1" customWidth="1"/>
    <col min="15" max="15" width="12.28515625" style="154" hidden="1" customWidth="1"/>
    <col min="16" max="16" width="9.7109375" style="154" hidden="1" customWidth="1"/>
    <col min="17" max="17" width="8.5703125" style="154" hidden="1" customWidth="1"/>
    <col min="18" max="18" width="9.85546875" style="154" hidden="1" customWidth="1"/>
    <col min="19" max="19" width="20" style="154" customWidth="1"/>
    <col min="20" max="28" width="13.7109375" style="154" customWidth="1"/>
    <col min="29" max="29" width="10.42578125" style="155" customWidth="1"/>
    <col min="30" max="31" width="10.140625" style="154" bestFit="1" customWidth="1"/>
    <col min="32" max="16384" width="9.140625" style="154"/>
  </cols>
  <sheetData>
    <row r="1" spans="1:34">
      <c r="A1" s="529" t="s">
        <v>1225</v>
      </c>
      <c r="B1" s="529"/>
      <c r="C1" s="529"/>
      <c r="D1" s="529"/>
      <c r="E1" s="115"/>
    </row>
    <row r="2" spans="1:34">
      <c r="A2" s="530" t="s">
        <v>1226</v>
      </c>
      <c r="B2" s="530"/>
      <c r="C2" s="530"/>
      <c r="D2" s="530"/>
      <c r="E2" s="115"/>
    </row>
    <row r="3" spans="1:34">
      <c r="A3" s="531" t="s">
        <v>1227</v>
      </c>
      <c r="B3" s="531"/>
      <c r="C3" s="531"/>
      <c r="D3" s="531"/>
      <c r="E3" s="531"/>
      <c r="F3" s="531"/>
      <c r="G3" s="531"/>
      <c r="H3" s="531"/>
      <c r="I3" s="531"/>
      <c r="J3" s="531"/>
      <c r="K3" s="531"/>
      <c r="L3" s="531"/>
      <c r="M3" s="531"/>
      <c r="N3" s="531"/>
      <c r="O3" s="531"/>
      <c r="P3" s="531"/>
      <c r="Q3" s="531"/>
      <c r="R3" s="531"/>
      <c r="S3" s="531"/>
      <c r="T3" s="531"/>
      <c r="U3" s="116"/>
      <c r="V3" s="116"/>
      <c r="W3" s="116"/>
      <c r="X3" s="116"/>
      <c r="Y3" s="116"/>
      <c r="Z3" s="116"/>
      <c r="AA3" s="116"/>
      <c r="AB3" s="116"/>
    </row>
    <row r="4" spans="1:34">
      <c r="A4" s="117"/>
      <c r="B4" s="118"/>
      <c r="C4" s="118"/>
      <c r="D4" s="117"/>
      <c r="E4" s="119"/>
      <c r="F4" s="155"/>
      <c r="G4" s="155"/>
      <c r="H4" s="155"/>
      <c r="I4" s="155"/>
      <c r="J4" s="155"/>
      <c r="K4" s="155"/>
      <c r="L4" s="155" t="e">
        <f>+L8+O8</f>
        <v>#REF!</v>
      </c>
      <c r="M4" s="155"/>
      <c r="N4" s="155"/>
      <c r="O4" s="155" t="e">
        <f>+O8+R8</f>
        <v>#REF!</v>
      </c>
      <c r="P4" s="155"/>
      <c r="Q4" s="155"/>
      <c r="R4" s="155"/>
      <c r="S4" s="532" t="s">
        <v>1155</v>
      </c>
      <c r="T4" s="532"/>
      <c r="U4" s="156"/>
      <c r="V4" s="156"/>
      <c r="W4" s="156"/>
      <c r="X4" s="156"/>
      <c r="Y4" s="156"/>
      <c r="Z4" s="156"/>
      <c r="AA4" s="156"/>
      <c r="AB4" s="156"/>
      <c r="AC4" s="120"/>
    </row>
    <row r="5" spans="1:34" ht="15.75" customHeight="1">
      <c r="A5" s="522" t="s">
        <v>1</v>
      </c>
      <c r="B5" s="522" t="s">
        <v>1228</v>
      </c>
      <c r="C5" s="522"/>
      <c r="D5" s="522" t="s">
        <v>1229</v>
      </c>
      <c r="E5" s="125" t="s">
        <v>18</v>
      </c>
      <c r="F5" s="522" t="s">
        <v>1230</v>
      </c>
      <c r="G5" s="526" t="s">
        <v>1231</v>
      </c>
      <c r="H5" s="528" t="s">
        <v>18</v>
      </c>
      <c r="I5" s="528"/>
      <c r="J5" s="518" t="s">
        <v>66</v>
      </c>
      <c r="K5" s="519"/>
      <c r="L5" s="519"/>
      <c r="M5" s="519"/>
      <c r="N5" s="519"/>
      <c r="O5" s="519"/>
      <c r="P5" s="519"/>
      <c r="Q5" s="121"/>
      <c r="R5" s="121"/>
      <c r="S5" s="520" t="s">
        <v>1232</v>
      </c>
      <c r="T5" s="522" t="s">
        <v>1233</v>
      </c>
      <c r="U5" s="122"/>
      <c r="V5" s="122"/>
      <c r="W5" s="122"/>
      <c r="X5" s="122"/>
      <c r="Y5" s="122"/>
      <c r="Z5" s="122"/>
      <c r="AA5" s="122"/>
      <c r="AB5" s="122"/>
    </row>
    <row r="6" spans="1:34" ht="118.5" customHeight="1">
      <c r="A6" s="522"/>
      <c r="B6" s="123" t="s">
        <v>1234</v>
      </c>
      <c r="C6" s="123" t="s">
        <v>1235</v>
      </c>
      <c r="D6" s="522"/>
      <c r="E6" s="124" t="s">
        <v>1236</v>
      </c>
      <c r="F6" s="522"/>
      <c r="G6" s="527"/>
      <c r="H6" s="124" t="s">
        <v>1236</v>
      </c>
      <c r="I6" s="124" t="s">
        <v>1237</v>
      </c>
      <c r="J6" s="125" t="s">
        <v>1238</v>
      </c>
      <c r="K6" s="124" t="s">
        <v>1236</v>
      </c>
      <c r="L6" s="124" t="s">
        <v>1237</v>
      </c>
      <c r="M6" s="125" t="s">
        <v>1239</v>
      </c>
      <c r="N6" s="124" t="s">
        <v>1236</v>
      </c>
      <c r="O6" s="124" t="s">
        <v>1237</v>
      </c>
      <c r="P6" s="125" t="s">
        <v>1240</v>
      </c>
      <c r="Q6" s="124" t="s">
        <v>1236</v>
      </c>
      <c r="R6" s="124" t="s">
        <v>1237</v>
      </c>
      <c r="S6" s="521"/>
      <c r="T6" s="522"/>
      <c r="U6" s="193" t="e">
        <f>+#REF!</f>
        <v>#REF!</v>
      </c>
      <c r="V6" s="193" t="e">
        <f>+U6-E8</f>
        <v>#REF!</v>
      </c>
      <c r="W6" s="193">
        <f>+'[3]Bieu 65_Chi MT_MLNS '!$C$30</f>
        <v>555182.28925999999</v>
      </c>
      <c r="X6" s="193">
        <f>+W6-E8</f>
        <v>31604.310028999927</v>
      </c>
      <c r="Y6" s="122"/>
      <c r="Z6" s="122"/>
      <c r="AA6" s="122"/>
      <c r="AB6" s="122"/>
      <c r="AC6" s="126"/>
    </row>
    <row r="7" spans="1:34" s="159" customFormat="1" ht="12.75">
      <c r="A7" s="127" t="s">
        <v>3</v>
      </c>
      <c r="B7" s="127" t="s">
        <v>4</v>
      </c>
      <c r="C7" s="127" t="s">
        <v>9</v>
      </c>
      <c r="D7" s="127" t="s">
        <v>4</v>
      </c>
      <c r="E7" s="128" t="s">
        <v>1241</v>
      </c>
      <c r="F7" s="157" t="s">
        <v>1242</v>
      </c>
      <c r="G7" s="157">
        <v>7</v>
      </c>
      <c r="H7" s="157" t="s">
        <v>1243</v>
      </c>
      <c r="I7" s="157" t="s">
        <v>1244</v>
      </c>
      <c r="J7" s="157">
        <v>8</v>
      </c>
      <c r="K7" s="157" t="s">
        <v>1245</v>
      </c>
      <c r="L7" s="157" t="s">
        <v>1246</v>
      </c>
      <c r="M7" s="157">
        <v>9</v>
      </c>
      <c r="N7" s="157" t="s">
        <v>1247</v>
      </c>
      <c r="O7" s="157" t="s">
        <v>1248</v>
      </c>
      <c r="P7" s="157">
        <v>10</v>
      </c>
      <c r="Q7" s="157" t="s">
        <v>1249</v>
      </c>
      <c r="R7" s="157" t="s">
        <v>1250</v>
      </c>
      <c r="S7" s="157">
        <v>11</v>
      </c>
      <c r="T7" s="157">
        <v>12</v>
      </c>
      <c r="U7" s="158" t="s">
        <v>1251</v>
      </c>
      <c r="V7" s="158" t="s">
        <v>1252</v>
      </c>
      <c r="W7" s="158" t="s">
        <v>1344</v>
      </c>
      <c r="X7" s="158" t="s">
        <v>1253</v>
      </c>
      <c r="Y7" s="158" t="s">
        <v>1254</v>
      </c>
      <c r="Z7" s="158" t="s">
        <v>1255</v>
      </c>
      <c r="AA7" s="158" t="s">
        <v>1256</v>
      </c>
      <c r="AB7" s="158" t="s">
        <v>1257</v>
      </c>
      <c r="AE7" s="160" t="s">
        <v>1183</v>
      </c>
      <c r="AF7" s="159" t="s">
        <v>1189</v>
      </c>
    </row>
    <row r="8" spans="1:34" s="164" customFormat="1" ht="25.5" customHeight="1">
      <c r="A8" s="129"/>
      <c r="B8" s="129"/>
      <c r="C8" s="129"/>
      <c r="D8" s="129" t="s">
        <v>0</v>
      </c>
      <c r="E8" s="130">
        <f>SUM(E9:E52)</f>
        <v>523577.97923100006</v>
      </c>
      <c r="F8" s="130" t="e">
        <f>+#REF!+#REF!</f>
        <v>#REF!</v>
      </c>
      <c r="G8" s="130" t="e">
        <f>+#REF!+#REF!</f>
        <v>#REF!</v>
      </c>
      <c r="H8" s="130" t="e">
        <f>+#REF!+#REF!</f>
        <v>#REF!</v>
      </c>
      <c r="I8" s="130" t="e">
        <f>+#REF!+#REF!</f>
        <v>#REF!</v>
      </c>
      <c r="J8" s="130" t="e">
        <f>+#REF!+#REF!</f>
        <v>#REF!</v>
      </c>
      <c r="K8" s="130" t="e">
        <f>+#REF!+#REF!</f>
        <v>#REF!</v>
      </c>
      <c r="L8" s="130" t="e">
        <f>+#REF!+#REF!</f>
        <v>#REF!</v>
      </c>
      <c r="M8" s="130" t="e">
        <f>+#REF!+#REF!</f>
        <v>#REF!</v>
      </c>
      <c r="N8" s="130" t="e">
        <f>+#REF!+#REF!</f>
        <v>#REF!</v>
      </c>
      <c r="O8" s="130" t="e">
        <f>+#REF!+#REF!</f>
        <v>#REF!</v>
      </c>
      <c r="P8" s="130" t="e">
        <f>+#REF!+#REF!</f>
        <v>#REF!</v>
      </c>
      <c r="Q8" s="130" t="e">
        <f>+#REF!+#REF!</f>
        <v>#REF!</v>
      </c>
      <c r="R8" s="130" t="e">
        <f>+#REF!+#REF!</f>
        <v>#REF!</v>
      </c>
      <c r="S8" s="130"/>
      <c r="T8" s="161"/>
      <c r="U8" s="131">
        <f>SUM(U9:U48)</f>
        <v>170491.491392</v>
      </c>
      <c r="V8" s="131">
        <f t="shared" ref="V8:AB8" si="0">SUM(V9:V48)</f>
        <v>275</v>
      </c>
      <c r="W8" s="131">
        <f t="shared" si="0"/>
        <v>0</v>
      </c>
      <c r="X8" s="131">
        <f t="shared" si="0"/>
        <v>39164.724999999999</v>
      </c>
      <c r="Y8" s="131">
        <f t="shared" si="0"/>
        <v>4271</v>
      </c>
      <c r="Z8" s="131">
        <f t="shared" si="0"/>
        <v>185452.82083899999</v>
      </c>
      <c r="AA8" s="131">
        <f t="shared" si="0"/>
        <v>11560.072</v>
      </c>
      <c r="AB8" s="131">
        <f t="shared" si="0"/>
        <v>112362.87</v>
      </c>
      <c r="AC8" s="181">
        <f t="shared" ref="AC8:AC48" si="1">SUM(U8:AB8)</f>
        <v>523577.979231</v>
      </c>
      <c r="AD8" s="162">
        <f>+E8-AC8</f>
        <v>0</v>
      </c>
      <c r="AE8" s="163">
        <f>SUM(AE9:AE48)</f>
        <v>172436.77023300002</v>
      </c>
      <c r="AF8" s="163">
        <f>SUM(AF9:AF48)</f>
        <v>351141.20899800002</v>
      </c>
      <c r="AG8" s="163">
        <f>+AF8+AE8</f>
        <v>523577.97923100006</v>
      </c>
      <c r="AH8" s="163">
        <f>+AG8-E8</f>
        <v>0</v>
      </c>
    </row>
    <row r="9" spans="1:34" ht="47.25">
      <c r="A9" s="132"/>
      <c r="B9" s="133">
        <v>640</v>
      </c>
      <c r="C9" s="134">
        <v>42769</v>
      </c>
      <c r="D9" s="135" t="s">
        <v>1258</v>
      </c>
      <c r="E9" s="168">
        <v>8757.5697209999998</v>
      </c>
      <c r="F9" s="168">
        <v>0</v>
      </c>
      <c r="G9" s="168" t="e">
        <f>+H9+I9</f>
        <v>#REF!</v>
      </c>
      <c r="H9" s="168" t="e">
        <f>+#REF!-E9</f>
        <v>#REF!</v>
      </c>
      <c r="I9" s="168"/>
      <c r="J9" s="111">
        <v>0</v>
      </c>
      <c r="K9" s="111"/>
      <c r="L9" s="111"/>
      <c r="M9" s="111"/>
      <c r="N9" s="111"/>
      <c r="O9" s="111"/>
      <c r="P9" s="111"/>
      <c r="Q9" s="112"/>
      <c r="R9" s="112"/>
      <c r="S9" s="523" t="s">
        <v>1259</v>
      </c>
      <c r="T9" s="111"/>
      <c r="U9" s="169"/>
      <c r="V9" s="169"/>
      <c r="W9" s="169"/>
      <c r="X9" s="169"/>
      <c r="Y9" s="169"/>
      <c r="Z9" s="170">
        <f>+E9</f>
        <v>8757.5697209999998</v>
      </c>
      <c r="AA9" s="169"/>
      <c r="AB9" s="169"/>
      <c r="AC9" s="155">
        <f t="shared" si="1"/>
        <v>8757.5697209999998</v>
      </c>
      <c r="AD9" s="162">
        <f t="shared" ref="AD9:AD48" si="2">+E9-AC9</f>
        <v>0</v>
      </c>
      <c r="AE9" s="155">
        <f>+E9</f>
        <v>8757.5697209999998</v>
      </c>
      <c r="AH9" s="155">
        <f t="shared" ref="AH9:AH48" si="3">+E9-AE9-AF9</f>
        <v>0</v>
      </c>
    </row>
    <row r="10" spans="1:34" ht="31.5">
      <c r="A10" s="132"/>
      <c r="B10" s="133">
        <v>640</v>
      </c>
      <c r="C10" s="134">
        <v>42769</v>
      </c>
      <c r="D10" s="135" t="s">
        <v>1260</v>
      </c>
      <c r="E10" s="168">
        <f>2345+2734</f>
        <v>5079</v>
      </c>
      <c r="F10" s="168">
        <v>0</v>
      </c>
      <c r="G10" s="168" t="e">
        <f t="shared" ref="G10:G32" si="4">+H10+I10</f>
        <v>#REF!</v>
      </c>
      <c r="H10" s="168" t="e">
        <f>+#REF!-E10</f>
        <v>#REF!</v>
      </c>
      <c r="I10" s="168"/>
      <c r="J10" s="111">
        <v>0</v>
      </c>
      <c r="K10" s="111"/>
      <c r="L10" s="111"/>
      <c r="M10" s="111"/>
      <c r="N10" s="111"/>
      <c r="O10" s="111"/>
      <c r="P10" s="111"/>
      <c r="Q10" s="171"/>
      <c r="R10" s="171"/>
      <c r="S10" s="524"/>
      <c r="T10" s="111"/>
      <c r="U10" s="169"/>
      <c r="V10" s="169"/>
      <c r="W10" s="169"/>
      <c r="X10" s="169"/>
      <c r="Y10" s="169"/>
      <c r="Z10" s="170">
        <f>+E10</f>
        <v>5079</v>
      </c>
      <c r="AA10" s="169"/>
      <c r="AB10" s="169"/>
      <c r="AC10" s="155">
        <f t="shared" si="1"/>
        <v>5079</v>
      </c>
      <c r="AD10" s="162">
        <f t="shared" si="2"/>
        <v>0</v>
      </c>
      <c r="AE10" s="155">
        <f>+E10</f>
        <v>5079</v>
      </c>
      <c r="AH10" s="155">
        <f t="shared" si="3"/>
        <v>0</v>
      </c>
    </row>
    <row r="11" spans="1:34" ht="63">
      <c r="A11" s="132"/>
      <c r="B11" s="133">
        <v>640</v>
      </c>
      <c r="C11" s="134">
        <v>42769</v>
      </c>
      <c r="D11" s="135" t="s">
        <v>1261</v>
      </c>
      <c r="E11" s="168">
        <v>2000</v>
      </c>
      <c r="F11" s="168">
        <v>0</v>
      </c>
      <c r="G11" s="168">
        <f t="shared" si="4"/>
        <v>0</v>
      </c>
      <c r="H11" s="168"/>
      <c r="I11" s="168"/>
      <c r="J11" s="111">
        <v>0</v>
      </c>
      <c r="K11" s="111"/>
      <c r="L11" s="111"/>
      <c r="M11" s="168"/>
      <c r="N11" s="168"/>
      <c r="O11" s="168"/>
      <c r="P11" s="111"/>
      <c r="Q11" s="111"/>
      <c r="R11" s="111"/>
      <c r="S11" s="172" t="s">
        <v>1262</v>
      </c>
      <c r="T11" s="111"/>
      <c r="U11" s="170">
        <f t="shared" ref="U11:U17" si="5">+E11</f>
        <v>2000</v>
      </c>
      <c r="V11" s="170"/>
      <c r="W11" s="170"/>
      <c r="X11" s="170"/>
      <c r="Y11" s="170"/>
      <c r="Z11" s="169"/>
      <c r="AA11" s="169"/>
      <c r="AB11" s="169"/>
      <c r="AC11" s="155">
        <f t="shared" si="1"/>
        <v>2000</v>
      </c>
      <c r="AD11" s="162">
        <f t="shared" si="2"/>
        <v>0</v>
      </c>
      <c r="AE11" s="155">
        <f>+E11</f>
        <v>2000</v>
      </c>
      <c r="AH11" s="155">
        <f t="shared" si="3"/>
        <v>0</v>
      </c>
    </row>
    <row r="12" spans="1:34" ht="63">
      <c r="A12" s="141"/>
      <c r="B12" s="133" t="s">
        <v>1264</v>
      </c>
      <c r="C12" s="134" t="s">
        <v>1265</v>
      </c>
      <c r="D12" s="138" t="s">
        <v>1348</v>
      </c>
      <c r="E12" s="168">
        <v>67667</v>
      </c>
      <c r="F12" s="168">
        <v>14239.958855999999</v>
      </c>
      <c r="G12" s="168">
        <f t="shared" si="4"/>
        <v>27670.803855999999</v>
      </c>
      <c r="H12" s="168">
        <f>+J12+P12</f>
        <v>27670.803855999999</v>
      </c>
      <c r="I12" s="168"/>
      <c r="J12" s="168">
        <v>14239.958855999999</v>
      </c>
      <c r="K12" s="168">
        <f>J12</f>
        <v>14239.958855999999</v>
      </c>
      <c r="L12" s="168"/>
      <c r="M12" s="168"/>
      <c r="N12" s="168"/>
      <c r="O12" s="168"/>
      <c r="P12" s="168">
        <v>13430.844999999998</v>
      </c>
      <c r="Q12" s="168">
        <f>P12</f>
        <v>13430.844999999998</v>
      </c>
      <c r="R12" s="168"/>
      <c r="S12" s="111" t="s">
        <v>1266</v>
      </c>
      <c r="T12" s="111" t="s">
        <v>1267</v>
      </c>
      <c r="U12" s="170">
        <f t="shared" si="5"/>
        <v>67667</v>
      </c>
      <c r="V12" s="170"/>
      <c r="W12" s="170"/>
      <c r="X12" s="170"/>
      <c r="Y12" s="170"/>
      <c r="Z12" s="169"/>
      <c r="AA12" s="169"/>
      <c r="AB12" s="169"/>
      <c r="AC12" s="155">
        <f t="shared" si="1"/>
        <v>67667</v>
      </c>
      <c r="AD12" s="162">
        <f t="shared" si="2"/>
        <v>0</v>
      </c>
      <c r="AF12" s="155">
        <f>+E12</f>
        <v>67667</v>
      </c>
      <c r="AH12" s="155">
        <f t="shared" si="3"/>
        <v>0</v>
      </c>
    </row>
    <row r="13" spans="1:34" ht="31.5">
      <c r="A13" s="141"/>
      <c r="B13" s="142" t="s">
        <v>1268</v>
      </c>
      <c r="C13" s="143" t="s">
        <v>1269</v>
      </c>
      <c r="D13" s="138" t="s">
        <v>1270</v>
      </c>
      <c r="E13" s="168">
        <v>21422</v>
      </c>
      <c r="F13" s="168"/>
      <c r="G13" s="168">
        <f t="shared" si="4"/>
        <v>0</v>
      </c>
      <c r="H13" s="168"/>
      <c r="I13" s="168"/>
      <c r="J13" s="111">
        <v>0</v>
      </c>
      <c r="K13" s="111"/>
      <c r="L13" s="111"/>
      <c r="M13" s="111"/>
      <c r="N13" s="111"/>
      <c r="O13" s="111"/>
      <c r="P13" s="111"/>
      <c r="Q13" s="111"/>
      <c r="R13" s="111"/>
      <c r="S13" s="111" t="s">
        <v>1266</v>
      </c>
      <c r="T13" s="111"/>
      <c r="U13" s="170">
        <f t="shared" si="5"/>
        <v>21422</v>
      </c>
      <c r="V13" s="170"/>
      <c r="W13" s="170"/>
      <c r="X13" s="170"/>
      <c r="Y13" s="170"/>
      <c r="Z13" s="169"/>
      <c r="AA13" s="169"/>
      <c r="AB13" s="169"/>
      <c r="AC13" s="155">
        <f t="shared" si="1"/>
        <v>21422</v>
      </c>
      <c r="AD13" s="162">
        <f t="shared" si="2"/>
        <v>0</v>
      </c>
      <c r="AF13" s="155">
        <f>+E13</f>
        <v>21422</v>
      </c>
      <c r="AH13" s="155">
        <f t="shared" si="3"/>
        <v>0</v>
      </c>
    </row>
    <row r="14" spans="1:34" ht="31.5">
      <c r="A14" s="141"/>
      <c r="B14" s="133">
        <v>640</v>
      </c>
      <c r="C14" s="134">
        <v>42769</v>
      </c>
      <c r="D14" s="138" t="s">
        <v>1271</v>
      </c>
      <c r="E14" s="168">
        <v>2673</v>
      </c>
      <c r="F14" s="168">
        <v>381.5</v>
      </c>
      <c r="G14" s="168">
        <f t="shared" si="4"/>
        <v>381.5</v>
      </c>
      <c r="H14" s="168">
        <v>381.5</v>
      </c>
      <c r="I14" s="168"/>
      <c r="J14" s="168">
        <v>381.5</v>
      </c>
      <c r="K14" s="168">
        <f>J14</f>
        <v>381.5</v>
      </c>
      <c r="L14" s="168"/>
      <c r="M14" s="168"/>
      <c r="N14" s="168"/>
      <c r="O14" s="168"/>
      <c r="P14" s="168"/>
      <c r="Q14" s="168"/>
      <c r="R14" s="168"/>
      <c r="S14" s="111" t="s">
        <v>1266</v>
      </c>
      <c r="T14" s="111"/>
      <c r="U14" s="170">
        <f t="shared" si="5"/>
        <v>2673</v>
      </c>
      <c r="V14" s="170"/>
      <c r="W14" s="170"/>
      <c r="X14" s="170"/>
      <c r="Y14" s="170"/>
      <c r="Z14" s="169"/>
      <c r="AA14" s="169"/>
      <c r="AB14" s="169"/>
      <c r="AC14" s="155">
        <f t="shared" si="1"/>
        <v>2673</v>
      </c>
      <c r="AD14" s="162">
        <f t="shared" si="2"/>
        <v>0</v>
      </c>
      <c r="AF14" s="155">
        <f>+E14</f>
        <v>2673</v>
      </c>
      <c r="AH14" s="155">
        <f t="shared" si="3"/>
        <v>0</v>
      </c>
    </row>
    <row r="15" spans="1:34" ht="78.75">
      <c r="A15" s="141"/>
      <c r="B15" s="133" t="s">
        <v>1268</v>
      </c>
      <c r="C15" s="134" t="s">
        <v>1269</v>
      </c>
      <c r="D15" s="138" t="s">
        <v>1349</v>
      </c>
      <c r="E15" s="168">
        <f>54110+11551.657</f>
        <v>65661.657000000007</v>
      </c>
      <c r="F15" s="168" t="e">
        <f>38390.428-#REF!</f>
        <v>#REF!</v>
      </c>
      <c r="G15" s="168">
        <f t="shared" si="4"/>
        <v>1487</v>
      </c>
      <c r="H15" s="140">
        <v>1487</v>
      </c>
      <c r="I15" s="168"/>
      <c r="J15" s="140">
        <v>1487</v>
      </c>
      <c r="K15" s="140">
        <f>J15</f>
        <v>1487</v>
      </c>
      <c r="L15" s="140"/>
      <c r="M15" s="140"/>
      <c r="N15" s="140"/>
      <c r="O15" s="140"/>
      <c r="P15" s="140"/>
      <c r="Q15" s="140"/>
      <c r="R15" s="140"/>
      <c r="S15" s="111" t="s">
        <v>1266</v>
      </c>
      <c r="T15" s="111"/>
      <c r="U15" s="170">
        <f t="shared" si="5"/>
        <v>65661.657000000007</v>
      </c>
      <c r="V15" s="170"/>
      <c r="W15" s="170"/>
      <c r="X15" s="170"/>
      <c r="Y15" s="170"/>
      <c r="Z15" s="169"/>
      <c r="AA15" s="169"/>
      <c r="AB15" s="169"/>
      <c r="AC15" s="155">
        <f t="shared" si="1"/>
        <v>65661.657000000007</v>
      </c>
      <c r="AD15" s="162">
        <f t="shared" si="2"/>
        <v>0</v>
      </c>
      <c r="AE15" s="155">
        <f>+E15</f>
        <v>65661.657000000007</v>
      </c>
      <c r="AH15" s="155">
        <f t="shared" si="3"/>
        <v>0</v>
      </c>
    </row>
    <row r="16" spans="1:34" ht="141.75">
      <c r="A16" s="141"/>
      <c r="B16" s="133" t="s">
        <v>1272</v>
      </c>
      <c r="C16" s="134" t="s">
        <v>1273</v>
      </c>
      <c r="D16" s="138" t="s">
        <v>1274</v>
      </c>
      <c r="E16" s="168">
        <v>6871.8343919999998</v>
      </c>
      <c r="F16" s="168"/>
      <c r="G16" s="168">
        <f t="shared" si="4"/>
        <v>0</v>
      </c>
      <c r="H16" s="168"/>
      <c r="I16" s="168"/>
      <c r="J16" s="111">
        <v>0</v>
      </c>
      <c r="K16" s="111"/>
      <c r="L16" s="111"/>
      <c r="M16" s="111"/>
      <c r="N16" s="111"/>
      <c r="O16" s="111"/>
      <c r="P16" s="111"/>
      <c r="Q16" s="111"/>
      <c r="R16" s="111"/>
      <c r="S16" s="111" t="s">
        <v>1266</v>
      </c>
      <c r="T16" s="111"/>
      <c r="U16" s="170">
        <f t="shared" si="5"/>
        <v>6871.8343919999998</v>
      </c>
      <c r="V16" s="170"/>
      <c r="W16" s="170"/>
      <c r="X16" s="170"/>
      <c r="Y16" s="170"/>
      <c r="Z16" s="169"/>
      <c r="AA16" s="169"/>
      <c r="AB16" s="169"/>
      <c r="AC16" s="155">
        <f t="shared" si="1"/>
        <v>6871.8343919999998</v>
      </c>
      <c r="AD16" s="162">
        <f t="shared" si="2"/>
        <v>0</v>
      </c>
      <c r="AE16" s="155"/>
      <c r="AF16" s="155">
        <f>+E16</f>
        <v>6871.8343919999998</v>
      </c>
      <c r="AH16" s="155">
        <f t="shared" si="3"/>
        <v>0</v>
      </c>
    </row>
    <row r="17" spans="1:34" ht="94.5">
      <c r="A17" s="141"/>
      <c r="B17" s="142">
        <v>640</v>
      </c>
      <c r="C17" s="143">
        <v>42769</v>
      </c>
      <c r="D17" s="139" t="s">
        <v>1275</v>
      </c>
      <c r="E17" s="168">
        <v>4196</v>
      </c>
      <c r="F17" s="168">
        <v>2813.9799999999996</v>
      </c>
      <c r="G17" s="168">
        <f t="shared" si="4"/>
        <v>2813.98</v>
      </c>
      <c r="H17" s="168">
        <v>2813.98</v>
      </c>
      <c r="I17" s="168"/>
      <c r="J17" s="168">
        <v>2813.98</v>
      </c>
      <c r="K17" s="168">
        <f>J17</f>
        <v>2813.98</v>
      </c>
      <c r="L17" s="168"/>
      <c r="M17" s="168"/>
      <c r="N17" s="168"/>
      <c r="O17" s="168"/>
      <c r="P17" s="168"/>
      <c r="Q17" s="168"/>
      <c r="R17" s="168"/>
      <c r="S17" s="111" t="s">
        <v>1276</v>
      </c>
      <c r="T17" s="111" t="s">
        <v>1267</v>
      </c>
      <c r="U17" s="170">
        <f t="shared" si="5"/>
        <v>4196</v>
      </c>
      <c r="V17" s="170"/>
      <c r="W17" s="170"/>
      <c r="X17" s="170"/>
      <c r="Y17" s="170"/>
      <c r="Z17" s="169"/>
      <c r="AA17" s="169"/>
      <c r="AB17" s="169"/>
      <c r="AC17" s="155">
        <f t="shared" si="1"/>
        <v>4196</v>
      </c>
      <c r="AD17" s="162">
        <f t="shared" si="2"/>
        <v>0</v>
      </c>
      <c r="AE17" s="155">
        <f>+E17</f>
        <v>4196</v>
      </c>
      <c r="AH17" s="155">
        <f t="shared" si="3"/>
        <v>0</v>
      </c>
    </row>
    <row r="18" spans="1:34" ht="31.5">
      <c r="A18" s="141"/>
      <c r="B18" s="142">
        <v>640</v>
      </c>
      <c r="C18" s="143">
        <v>42769</v>
      </c>
      <c r="D18" s="138" t="s">
        <v>1277</v>
      </c>
      <c r="E18" s="168">
        <v>586</v>
      </c>
      <c r="F18" s="168">
        <v>645.7829999999999</v>
      </c>
      <c r="G18" s="168">
        <f t="shared" si="4"/>
        <v>645.78300000000002</v>
      </c>
      <c r="H18" s="168">
        <v>645.78300000000002</v>
      </c>
      <c r="I18" s="168"/>
      <c r="J18" s="168">
        <v>645.78300000000002</v>
      </c>
      <c r="K18" s="168">
        <f>J18</f>
        <v>645.78300000000002</v>
      </c>
      <c r="L18" s="168"/>
      <c r="M18" s="168"/>
      <c r="N18" s="168"/>
      <c r="O18" s="168"/>
      <c r="P18" s="168"/>
      <c r="Q18" s="168"/>
      <c r="R18" s="168"/>
      <c r="S18" s="111" t="s">
        <v>1263</v>
      </c>
      <c r="T18" s="111"/>
      <c r="U18" s="169"/>
      <c r="V18" s="169"/>
      <c r="W18" s="169"/>
      <c r="X18" s="169"/>
      <c r="Y18" s="170">
        <f>+E18</f>
        <v>586</v>
      </c>
      <c r="Z18" s="169"/>
      <c r="AA18" s="169"/>
      <c r="AB18" s="169"/>
      <c r="AC18" s="155">
        <f t="shared" si="1"/>
        <v>586</v>
      </c>
      <c r="AD18" s="162">
        <f t="shared" si="2"/>
        <v>0</v>
      </c>
      <c r="AF18" s="155">
        <f>+E18</f>
        <v>586</v>
      </c>
      <c r="AH18" s="155">
        <f t="shared" si="3"/>
        <v>0</v>
      </c>
    </row>
    <row r="19" spans="1:34" ht="94.5">
      <c r="A19" s="141"/>
      <c r="B19" s="142">
        <v>640</v>
      </c>
      <c r="C19" s="143">
        <v>42769</v>
      </c>
      <c r="D19" s="138" t="s">
        <v>1278</v>
      </c>
      <c r="E19" s="168">
        <v>87832</v>
      </c>
      <c r="F19" s="168"/>
      <c r="G19" s="168">
        <f t="shared" si="4"/>
        <v>0</v>
      </c>
      <c r="H19" s="168"/>
      <c r="I19" s="168"/>
      <c r="J19" s="111">
        <v>0</v>
      </c>
      <c r="K19" s="111"/>
      <c r="L19" s="111"/>
      <c r="M19" s="111"/>
      <c r="N19" s="111"/>
      <c r="O19" s="111"/>
      <c r="P19" s="111"/>
      <c r="Q19" s="111"/>
      <c r="R19" s="111"/>
      <c r="S19" s="111" t="s">
        <v>1266</v>
      </c>
      <c r="T19" s="111"/>
      <c r="U19" s="169"/>
      <c r="V19" s="169"/>
      <c r="W19" s="169"/>
      <c r="X19" s="169"/>
      <c r="Y19" s="169"/>
      <c r="Z19" s="169"/>
      <c r="AA19" s="169"/>
      <c r="AB19" s="170">
        <f>+E19</f>
        <v>87832</v>
      </c>
      <c r="AC19" s="155">
        <f t="shared" si="1"/>
        <v>87832</v>
      </c>
      <c r="AD19" s="162">
        <f t="shared" si="2"/>
        <v>0</v>
      </c>
      <c r="AE19" s="155"/>
      <c r="AF19" s="155">
        <f>+E19</f>
        <v>87832</v>
      </c>
      <c r="AH19" s="155">
        <f t="shared" si="3"/>
        <v>0</v>
      </c>
    </row>
    <row r="20" spans="1:34" ht="78.75">
      <c r="A20" s="141"/>
      <c r="B20" s="142">
        <v>640</v>
      </c>
      <c r="C20" s="143">
        <v>42769</v>
      </c>
      <c r="D20" s="138" t="s">
        <v>1279</v>
      </c>
      <c r="E20" s="168">
        <f>1055.37+5833+2000.5</f>
        <v>8888.869999999999</v>
      </c>
      <c r="F20" s="168">
        <v>0</v>
      </c>
      <c r="G20" s="168">
        <f t="shared" si="4"/>
        <v>0</v>
      </c>
      <c r="H20" s="168"/>
      <c r="I20" s="168"/>
      <c r="J20" s="111">
        <v>0</v>
      </c>
      <c r="K20" s="111"/>
      <c r="L20" s="111"/>
      <c r="M20" s="111"/>
      <c r="N20" s="111"/>
      <c r="O20" s="111"/>
      <c r="P20" s="111"/>
      <c r="Q20" s="111"/>
      <c r="R20" s="111"/>
      <c r="S20" s="111" t="s">
        <v>182</v>
      </c>
      <c r="T20" s="111"/>
      <c r="U20" s="169"/>
      <c r="V20" s="169"/>
      <c r="W20" s="169"/>
      <c r="X20" s="169"/>
      <c r="Y20" s="169"/>
      <c r="Z20" s="169"/>
      <c r="AA20" s="169"/>
      <c r="AB20" s="170">
        <f>+E20</f>
        <v>8888.869999999999</v>
      </c>
      <c r="AC20" s="155">
        <f t="shared" si="1"/>
        <v>8888.869999999999</v>
      </c>
      <c r="AD20" s="162">
        <f t="shared" si="2"/>
        <v>0</v>
      </c>
      <c r="AE20" s="155">
        <f>+E20</f>
        <v>8888.869999999999</v>
      </c>
      <c r="AH20" s="155">
        <f t="shared" si="3"/>
        <v>0</v>
      </c>
    </row>
    <row r="21" spans="1:34" ht="47.25">
      <c r="A21" s="141"/>
      <c r="B21" s="142" t="s">
        <v>1268</v>
      </c>
      <c r="C21" s="143" t="s">
        <v>1269</v>
      </c>
      <c r="D21" s="138" t="s">
        <v>1280</v>
      </c>
      <c r="E21" s="168">
        <v>12042</v>
      </c>
      <c r="F21" s="168"/>
      <c r="G21" s="168">
        <f t="shared" si="4"/>
        <v>0</v>
      </c>
      <c r="H21" s="168"/>
      <c r="I21" s="168"/>
      <c r="J21" s="111">
        <v>0</v>
      </c>
      <c r="K21" s="111"/>
      <c r="L21" s="111"/>
      <c r="M21" s="111"/>
      <c r="N21" s="111"/>
      <c r="O21" s="111"/>
      <c r="P21" s="111"/>
      <c r="Q21" s="111"/>
      <c r="R21" s="111"/>
      <c r="S21" s="111" t="s">
        <v>1266</v>
      </c>
      <c r="T21" s="111"/>
      <c r="U21" s="169"/>
      <c r="V21" s="169"/>
      <c r="W21" s="169"/>
      <c r="X21" s="169"/>
      <c r="Y21" s="169"/>
      <c r="Z21" s="169"/>
      <c r="AA21" s="169"/>
      <c r="AB21" s="170">
        <f>+E21</f>
        <v>12042</v>
      </c>
      <c r="AC21" s="155">
        <f t="shared" si="1"/>
        <v>12042</v>
      </c>
      <c r="AD21" s="162">
        <f t="shared" si="2"/>
        <v>0</v>
      </c>
      <c r="AF21" s="155">
        <f>+E21</f>
        <v>12042</v>
      </c>
      <c r="AH21" s="155">
        <f t="shared" si="3"/>
        <v>0</v>
      </c>
    </row>
    <row r="22" spans="1:34" ht="63">
      <c r="A22" s="141"/>
      <c r="B22" s="142">
        <v>640</v>
      </c>
      <c r="C22" s="143">
        <v>42769</v>
      </c>
      <c r="D22" s="138" t="s">
        <v>1281</v>
      </c>
      <c r="E22" s="168">
        <v>534</v>
      </c>
      <c r="F22" s="168">
        <v>0</v>
      </c>
      <c r="G22" s="168">
        <f t="shared" si="4"/>
        <v>0</v>
      </c>
      <c r="H22" s="168"/>
      <c r="I22" s="168"/>
      <c r="J22" s="111">
        <v>0</v>
      </c>
      <c r="K22" s="111"/>
      <c r="L22" s="111"/>
      <c r="M22" s="111"/>
      <c r="N22" s="111"/>
      <c r="O22" s="111"/>
      <c r="P22" s="111"/>
      <c r="Q22" s="111"/>
      <c r="R22" s="111"/>
      <c r="S22" s="111" t="s">
        <v>127</v>
      </c>
      <c r="T22" s="111"/>
      <c r="U22" s="169"/>
      <c r="V22" s="169"/>
      <c r="W22" s="169"/>
      <c r="X22" s="169"/>
      <c r="Y22" s="169"/>
      <c r="Z22" s="169"/>
      <c r="AA22" s="170">
        <f>+E22</f>
        <v>534</v>
      </c>
      <c r="AB22" s="169"/>
      <c r="AC22" s="155">
        <f t="shared" si="1"/>
        <v>534</v>
      </c>
      <c r="AD22" s="162">
        <f t="shared" si="2"/>
        <v>0</v>
      </c>
      <c r="AE22" s="155">
        <f>+E22</f>
        <v>534</v>
      </c>
      <c r="AH22" s="155">
        <f t="shared" si="3"/>
        <v>0</v>
      </c>
    </row>
    <row r="23" spans="1:34" ht="63">
      <c r="A23" s="141"/>
      <c r="B23" s="142">
        <v>640</v>
      </c>
      <c r="C23" s="143">
        <v>42769</v>
      </c>
      <c r="D23" s="138" t="s">
        <v>1282</v>
      </c>
      <c r="E23" s="168">
        <v>275</v>
      </c>
      <c r="F23" s="168">
        <v>3662.9157</v>
      </c>
      <c r="G23" s="168">
        <f t="shared" si="4"/>
        <v>3662.9157</v>
      </c>
      <c r="H23" s="168">
        <v>3662.9157</v>
      </c>
      <c r="I23" s="168"/>
      <c r="J23" s="168">
        <v>3662.9157</v>
      </c>
      <c r="K23" s="168">
        <f>J23</f>
        <v>3662.9157</v>
      </c>
      <c r="L23" s="168"/>
      <c r="M23" s="168"/>
      <c r="N23" s="168"/>
      <c r="O23" s="168"/>
      <c r="P23" s="168"/>
      <c r="Q23" s="168"/>
      <c r="R23" s="168"/>
      <c r="S23" s="111" t="s">
        <v>109</v>
      </c>
      <c r="T23" s="111" t="s">
        <v>1283</v>
      </c>
      <c r="U23" s="169"/>
      <c r="V23" s="170">
        <f>+E23</f>
        <v>275</v>
      </c>
      <c r="W23" s="170"/>
      <c r="X23" s="170"/>
      <c r="Y23" s="169"/>
      <c r="Z23" s="169"/>
      <c r="AA23" s="169"/>
      <c r="AB23" s="169"/>
      <c r="AC23" s="155">
        <f t="shared" si="1"/>
        <v>275</v>
      </c>
      <c r="AD23" s="162">
        <f t="shared" si="2"/>
        <v>0</v>
      </c>
      <c r="AE23" s="155">
        <f>+E23</f>
        <v>275</v>
      </c>
      <c r="AH23" s="155">
        <f t="shared" si="3"/>
        <v>0</v>
      </c>
    </row>
    <row r="24" spans="1:34" ht="31.5">
      <c r="A24" s="141"/>
      <c r="B24" s="142">
        <v>1072</v>
      </c>
      <c r="C24" s="142" t="s">
        <v>1284</v>
      </c>
      <c r="D24" s="138" t="s">
        <v>1285</v>
      </c>
      <c r="E24" s="168">
        <v>156.80000000000001</v>
      </c>
      <c r="F24" s="168">
        <v>0</v>
      </c>
      <c r="G24" s="168">
        <f t="shared" si="4"/>
        <v>0</v>
      </c>
      <c r="H24" s="168"/>
      <c r="I24" s="168"/>
      <c r="J24" s="111">
        <v>0</v>
      </c>
      <c r="K24" s="111"/>
      <c r="L24" s="111"/>
      <c r="M24" s="111"/>
      <c r="N24" s="111"/>
      <c r="O24" s="111"/>
      <c r="P24" s="111"/>
      <c r="Q24" s="111"/>
      <c r="R24" s="111"/>
      <c r="S24" s="111" t="s">
        <v>1266</v>
      </c>
      <c r="T24" s="111"/>
      <c r="U24" s="169"/>
      <c r="V24" s="169"/>
      <c r="W24" s="169"/>
      <c r="X24" s="169"/>
      <c r="Y24" s="169"/>
      <c r="Z24" s="170">
        <f>+E24</f>
        <v>156.80000000000001</v>
      </c>
      <c r="AA24" s="169"/>
      <c r="AB24" s="169"/>
      <c r="AC24" s="155">
        <f t="shared" si="1"/>
        <v>156.80000000000001</v>
      </c>
      <c r="AD24" s="162">
        <f t="shared" si="2"/>
        <v>0</v>
      </c>
      <c r="AF24" s="155">
        <f>+E24</f>
        <v>156.80000000000001</v>
      </c>
      <c r="AH24" s="155">
        <f t="shared" si="3"/>
        <v>0</v>
      </c>
    </row>
    <row r="25" spans="1:34" ht="47.25">
      <c r="A25" s="141"/>
      <c r="B25" s="142">
        <v>640</v>
      </c>
      <c r="C25" s="143">
        <v>42769</v>
      </c>
      <c r="D25" s="138" t="s">
        <v>1350</v>
      </c>
      <c r="E25" s="137">
        <v>1121</v>
      </c>
      <c r="F25" s="168">
        <v>0</v>
      </c>
      <c r="G25" s="168">
        <f t="shared" si="4"/>
        <v>0</v>
      </c>
      <c r="H25" s="168"/>
      <c r="I25" s="168"/>
      <c r="J25" s="111">
        <v>0</v>
      </c>
      <c r="K25" s="111"/>
      <c r="L25" s="111"/>
      <c r="M25" s="168" t="e">
        <f>+#REF!-#REF!</f>
        <v>#REF!</v>
      </c>
      <c r="N25" s="168"/>
      <c r="O25" s="168"/>
      <c r="P25" s="111"/>
      <c r="Q25" s="111"/>
      <c r="R25" s="111"/>
      <c r="S25" s="111" t="s">
        <v>1286</v>
      </c>
      <c r="T25" s="111"/>
      <c r="U25" s="169"/>
      <c r="V25" s="169"/>
      <c r="W25" s="169"/>
      <c r="X25" s="169"/>
      <c r="Y25" s="169"/>
      <c r="Z25" s="170">
        <f>+E25</f>
        <v>1121</v>
      </c>
      <c r="AA25" s="169"/>
      <c r="AB25" s="169"/>
      <c r="AC25" s="155">
        <f t="shared" si="1"/>
        <v>1121</v>
      </c>
      <c r="AD25" s="162">
        <f t="shared" si="2"/>
        <v>0</v>
      </c>
      <c r="AF25" s="155">
        <f>+E25</f>
        <v>1121</v>
      </c>
      <c r="AH25" s="155">
        <f t="shared" si="3"/>
        <v>0</v>
      </c>
    </row>
    <row r="26" spans="1:34" ht="47.25">
      <c r="A26" s="141"/>
      <c r="B26" s="142">
        <v>640</v>
      </c>
      <c r="C26" s="143">
        <v>42769</v>
      </c>
      <c r="D26" s="144" t="s">
        <v>1287</v>
      </c>
      <c r="E26" s="136">
        <f>38061.976-20662+10000</f>
        <v>27399.976000000002</v>
      </c>
      <c r="F26" s="168">
        <v>0</v>
      </c>
      <c r="G26" s="168">
        <f t="shared" si="4"/>
        <v>0</v>
      </c>
      <c r="H26" s="168"/>
      <c r="I26" s="168"/>
      <c r="J26" s="111">
        <v>0</v>
      </c>
      <c r="K26" s="111"/>
      <c r="L26" s="111"/>
      <c r="M26" s="168" t="e">
        <f>+#REF!-#REF!</f>
        <v>#REF!</v>
      </c>
      <c r="N26" s="168"/>
      <c r="O26" s="168"/>
      <c r="P26" s="111"/>
      <c r="Q26" s="111"/>
      <c r="R26" s="111"/>
      <c r="S26" s="111" t="s">
        <v>1266</v>
      </c>
      <c r="T26" s="111"/>
      <c r="U26" s="169"/>
      <c r="V26" s="169"/>
      <c r="W26" s="169"/>
      <c r="X26" s="169"/>
      <c r="Y26" s="169"/>
      <c r="Z26" s="170">
        <f>+E26</f>
        <v>27399.976000000002</v>
      </c>
      <c r="AA26" s="169"/>
      <c r="AB26" s="169"/>
      <c r="AC26" s="155">
        <f t="shared" si="1"/>
        <v>27399.976000000002</v>
      </c>
      <c r="AD26" s="162">
        <f t="shared" si="2"/>
        <v>0</v>
      </c>
      <c r="AF26" s="155">
        <f>+E26</f>
        <v>27399.976000000002</v>
      </c>
      <c r="AH26" s="155">
        <f t="shared" si="3"/>
        <v>0</v>
      </c>
    </row>
    <row r="27" spans="1:34" ht="47.25">
      <c r="A27" s="141"/>
      <c r="B27" s="142">
        <v>890</v>
      </c>
      <c r="C27" s="142" t="s">
        <v>1288</v>
      </c>
      <c r="D27" s="139" t="s">
        <v>1351</v>
      </c>
      <c r="E27" s="136">
        <f>23755+3132</f>
        <v>26887</v>
      </c>
      <c r="F27" s="168">
        <v>0</v>
      </c>
      <c r="G27" s="168">
        <f t="shared" si="4"/>
        <v>0</v>
      </c>
      <c r="H27" s="168"/>
      <c r="I27" s="168"/>
      <c r="J27" s="111">
        <v>0</v>
      </c>
      <c r="K27" s="111"/>
      <c r="L27" s="111"/>
      <c r="M27" s="111"/>
      <c r="N27" s="111"/>
      <c r="O27" s="111"/>
      <c r="P27" s="111"/>
      <c r="Q27" s="111"/>
      <c r="R27" s="111"/>
      <c r="S27" s="111" t="s">
        <v>1289</v>
      </c>
      <c r="T27" s="111"/>
      <c r="U27" s="169"/>
      <c r="V27" s="169"/>
      <c r="W27" s="169"/>
      <c r="X27" s="170">
        <f>+E27</f>
        <v>26887</v>
      </c>
      <c r="Y27" s="169"/>
      <c r="Z27" s="169"/>
      <c r="AA27" s="169"/>
      <c r="AB27" s="169"/>
      <c r="AC27" s="155">
        <f t="shared" si="1"/>
        <v>26887</v>
      </c>
      <c r="AD27" s="162">
        <f t="shared" si="2"/>
        <v>0</v>
      </c>
      <c r="AE27" s="155">
        <f>+E27</f>
        <v>26887</v>
      </c>
      <c r="AH27" s="155">
        <f t="shared" si="3"/>
        <v>0</v>
      </c>
    </row>
    <row r="28" spans="1:34" ht="63">
      <c r="A28" s="141"/>
      <c r="B28" s="142">
        <v>890</v>
      </c>
      <c r="C28" s="142" t="s">
        <v>1288</v>
      </c>
      <c r="D28" s="138" t="s">
        <v>1292</v>
      </c>
      <c r="E28" s="137">
        <v>14262</v>
      </c>
      <c r="F28" s="168">
        <v>0</v>
      </c>
      <c r="G28" s="168">
        <f t="shared" si="4"/>
        <v>0</v>
      </c>
      <c r="H28" s="168"/>
      <c r="I28" s="168"/>
      <c r="J28" s="111">
        <v>0</v>
      </c>
      <c r="K28" s="111"/>
      <c r="L28" s="111"/>
      <c r="M28" s="111"/>
      <c r="N28" s="111"/>
      <c r="O28" s="111"/>
      <c r="P28" s="111"/>
      <c r="Q28" s="111"/>
      <c r="R28" s="111"/>
      <c r="S28" s="111" t="s">
        <v>1293</v>
      </c>
      <c r="T28" s="111"/>
      <c r="U28" s="169"/>
      <c r="V28" s="169"/>
      <c r="W28" s="169"/>
      <c r="X28" s="169"/>
      <c r="Y28" s="169"/>
      <c r="Z28" s="170">
        <f>+E28</f>
        <v>14262</v>
      </c>
      <c r="AA28" s="169"/>
      <c r="AB28" s="169"/>
      <c r="AC28" s="155">
        <f t="shared" si="1"/>
        <v>14262</v>
      </c>
      <c r="AD28" s="162">
        <f t="shared" si="2"/>
        <v>0</v>
      </c>
      <c r="AE28" s="155">
        <f>+E28</f>
        <v>14262</v>
      </c>
      <c r="AH28" s="155">
        <f t="shared" si="3"/>
        <v>0</v>
      </c>
    </row>
    <row r="29" spans="1:34" ht="78.75">
      <c r="A29" s="141"/>
      <c r="B29" s="142" t="s">
        <v>1290</v>
      </c>
      <c r="C29" s="142" t="s">
        <v>1291</v>
      </c>
      <c r="D29" s="138" t="s">
        <v>1294</v>
      </c>
      <c r="E29" s="137">
        <v>824</v>
      </c>
      <c r="F29" s="168">
        <v>0</v>
      </c>
      <c r="G29" s="168">
        <f t="shared" si="4"/>
        <v>0</v>
      </c>
      <c r="H29" s="168"/>
      <c r="I29" s="168"/>
      <c r="J29" s="111">
        <v>0</v>
      </c>
      <c r="K29" s="111"/>
      <c r="L29" s="111"/>
      <c r="M29" s="111"/>
      <c r="N29" s="111"/>
      <c r="O29" s="111"/>
      <c r="P29" s="111"/>
      <c r="Q29" s="111"/>
      <c r="R29" s="111"/>
      <c r="S29" s="111" t="s">
        <v>1266</v>
      </c>
      <c r="T29" s="111"/>
      <c r="U29" s="169"/>
      <c r="V29" s="169"/>
      <c r="W29" s="169"/>
      <c r="X29" s="169"/>
      <c r="Y29" s="169"/>
      <c r="Z29" s="170">
        <f>+E29</f>
        <v>824</v>
      </c>
      <c r="AA29" s="169"/>
      <c r="AB29" s="169"/>
      <c r="AC29" s="155">
        <f t="shared" si="1"/>
        <v>824</v>
      </c>
      <c r="AD29" s="162">
        <f t="shared" si="2"/>
        <v>0</v>
      </c>
      <c r="AF29" s="155">
        <f>+E29</f>
        <v>824</v>
      </c>
      <c r="AH29" s="155">
        <f t="shared" si="3"/>
        <v>0</v>
      </c>
    </row>
    <row r="30" spans="1:34" ht="63">
      <c r="A30" s="141"/>
      <c r="B30" s="142">
        <v>890</v>
      </c>
      <c r="C30" s="142" t="s">
        <v>1288</v>
      </c>
      <c r="D30" s="138" t="s">
        <v>1295</v>
      </c>
      <c r="E30" s="137">
        <v>7265</v>
      </c>
      <c r="F30" s="168">
        <v>0</v>
      </c>
      <c r="G30" s="168">
        <f t="shared" si="4"/>
        <v>0</v>
      </c>
      <c r="H30" s="168"/>
      <c r="I30" s="168"/>
      <c r="J30" s="111">
        <v>0</v>
      </c>
      <c r="K30" s="111"/>
      <c r="L30" s="111"/>
      <c r="M30" s="111"/>
      <c r="N30" s="111"/>
      <c r="O30" s="111"/>
      <c r="P30" s="111"/>
      <c r="Q30" s="111"/>
      <c r="R30" s="111"/>
      <c r="S30" s="111" t="s">
        <v>1266</v>
      </c>
      <c r="T30" s="111"/>
      <c r="U30" s="169"/>
      <c r="V30" s="169"/>
      <c r="W30" s="169"/>
      <c r="X30" s="169"/>
      <c r="Y30" s="169"/>
      <c r="Z30" s="169"/>
      <c r="AA30" s="170">
        <f>+E30</f>
        <v>7265</v>
      </c>
      <c r="AB30" s="169"/>
      <c r="AC30" s="155">
        <f t="shared" si="1"/>
        <v>7265</v>
      </c>
      <c r="AD30" s="162">
        <f t="shared" si="2"/>
        <v>0</v>
      </c>
      <c r="AF30" s="155">
        <f>+E30</f>
        <v>7265</v>
      </c>
      <c r="AH30" s="155">
        <f t="shared" si="3"/>
        <v>0</v>
      </c>
    </row>
    <row r="31" spans="1:34" ht="47.25">
      <c r="A31" s="141"/>
      <c r="B31" s="142">
        <v>890</v>
      </c>
      <c r="C31" s="142" t="s">
        <v>1288</v>
      </c>
      <c r="D31" s="138" t="s">
        <v>1296</v>
      </c>
      <c r="E31" s="137">
        <v>18.725000000000001</v>
      </c>
      <c r="F31" s="168">
        <v>0</v>
      </c>
      <c r="G31" s="168">
        <f t="shared" si="4"/>
        <v>0</v>
      </c>
      <c r="H31" s="168"/>
      <c r="I31" s="168"/>
      <c r="J31" s="111">
        <v>0</v>
      </c>
      <c r="K31" s="111"/>
      <c r="L31" s="111"/>
      <c r="M31" s="111"/>
      <c r="N31" s="111"/>
      <c r="O31" s="111"/>
      <c r="P31" s="111"/>
      <c r="Q31" s="111"/>
      <c r="R31" s="111"/>
      <c r="S31" s="111" t="s">
        <v>187</v>
      </c>
      <c r="T31" s="111"/>
      <c r="U31" s="169"/>
      <c r="V31" s="169"/>
      <c r="W31" s="169"/>
      <c r="X31" s="170">
        <f>+E31</f>
        <v>18.725000000000001</v>
      </c>
      <c r="Y31" s="169"/>
      <c r="Z31" s="169"/>
      <c r="AA31" s="169"/>
      <c r="AB31" s="169"/>
      <c r="AC31" s="155">
        <f t="shared" si="1"/>
        <v>18.725000000000001</v>
      </c>
      <c r="AD31" s="162">
        <f t="shared" si="2"/>
        <v>0</v>
      </c>
      <c r="AE31" s="155">
        <f>+E31</f>
        <v>18.725000000000001</v>
      </c>
      <c r="AH31" s="155">
        <f t="shared" si="3"/>
        <v>0</v>
      </c>
    </row>
    <row r="32" spans="1:34" s="178" customFormat="1" ht="78.75" hidden="1">
      <c r="A32" s="145"/>
      <c r="B32" s="146">
        <v>640</v>
      </c>
      <c r="C32" s="147">
        <v>42769</v>
      </c>
      <c r="D32" s="148" t="s">
        <v>1297</v>
      </c>
      <c r="E32" s="179"/>
      <c r="F32" s="176">
        <v>187</v>
      </c>
      <c r="G32" s="176">
        <f t="shared" si="4"/>
        <v>187</v>
      </c>
      <c r="H32" s="176">
        <v>187</v>
      </c>
      <c r="I32" s="176"/>
      <c r="J32" s="176">
        <v>187</v>
      </c>
      <c r="K32" s="176">
        <f>J32</f>
        <v>187</v>
      </c>
      <c r="L32" s="176"/>
      <c r="M32" s="176"/>
      <c r="N32" s="176"/>
      <c r="O32" s="176"/>
      <c r="P32" s="176"/>
      <c r="Q32" s="176"/>
      <c r="R32" s="176"/>
      <c r="S32" s="175" t="s">
        <v>1075</v>
      </c>
      <c r="T32" s="175"/>
      <c r="U32" s="177"/>
      <c r="V32" s="177"/>
      <c r="W32" s="177"/>
      <c r="X32" s="177"/>
      <c r="Y32" s="177"/>
      <c r="Z32" s="177"/>
      <c r="AA32" s="177"/>
      <c r="AB32" s="177"/>
      <c r="AC32" s="155">
        <f t="shared" si="1"/>
        <v>0</v>
      </c>
      <c r="AD32" s="162">
        <f t="shared" si="2"/>
        <v>0</v>
      </c>
      <c r="AH32" s="155">
        <f t="shared" si="3"/>
        <v>0</v>
      </c>
    </row>
    <row r="33" spans="1:34" s="167" customFormat="1" ht="47.25">
      <c r="A33" s="182"/>
      <c r="B33" s="165"/>
      <c r="C33" s="165"/>
      <c r="D33" s="111" t="s">
        <v>1298</v>
      </c>
      <c r="E33" s="149">
        <v>580</v>
      </c>
      <c r="F33" s="184" t="e">
        <f>+#REF!-#REF!+#REF!-#REF!</f>
        <v>#REF!</v>
      </c>
      <c r="G33" s="168">
        <f t="shared" ref="G33:G48" si="6">+H33+I33</f>
        <v>0</v>
      </c>
      <c r="H33" s="185"/>
      <c r="I33" s="185"/>
      <c r="J33" s="184"/>
      <c r="K33" s="184"/>
      <c r="L33" s="184"/>
      <c r="M33" s="184"/>
      <c r="N33" s="184"/>
      <c r="O33" s="184"/>
      <c r="P33" s="184"/>
      <c r="Q33" s="184"/>
      <c r="R33" s="184"/>
      <c r="S33" s="165"/>
      <c r="T33" s="165"/>
      <c r="U33" s="166"/>
      <c r="V33" s="166"/>
      <c r="W33" s="166"/>
      <c r="X33" s="166"/>
      <c r="Y33" s="166"/>
      <c r="Z33" s="166"/>
      <c r="AA33" s="187">
        <f>+E33</f>
        <v>580</v>
      </c>
      <c r="AB33" s="166"/>
      <c r="AC33" s="155">
        <f t="shared" si="1"/>
        <v>580</v>
      </c>
      <c r="AD33" s="162">
        <f t="shared" si="2"/>
        <v>0</v>
      </c>
      <c r="AE33" s="186">
        <f>+E33</f>
        <v>580</v>
      </c>
      <c r="AH33" s="155">
        <f t="shared" si="3"/>
        <v>0</v>
      </c>
    </row>
    <row r="34" spans="1:34" ht="78.75">
      <c r="A34" s="111"/>
      <c r="B34" s="111"/>
      <c r="C34" s="111"/>
      <c r="D34" s="150" t="s">
        <v>1299</v>
      </c>
      <c r="E34" s="183">
        <v>126.072</v>
      </c>
      <c r="F34" s="111"/>
      <c r="G34" s="168">
        <f t="shared" si="6"/>
        <v>0</v>
      </c>
      <c r="H34" s="185"/>
      <c r="I34" s="185"/>
      <c r="J34" s="111"/>
      <c r="K34" s="111"/>
      <c r="L34" s="111"/>
      <c r="M34" s="111"/>
      <c r="N34" s="111"/>
      <c r="O34" s="111"/>
      <c r="P34" s="111"/>
      <c r="Q34" s="111"/>
      <c r="R34" s="111"/>
      <c r="S34" s="111" t="s">
        <v>1266</v>
      </c>
      <c r="T34" s="111"/>
      <c r="U34" s="169"/>
      <c r="V34" s="169"/>
      <c r="W34" s="169"/>
      <c r="X34" s="169"/>
      <c r="Y34" s="169"/>
      <c r="Z34" s="169"/>
      <c r="AA34" s="187">
        <f>+E34</f>
        <v>126.072</v>
      </c>
      <c r="AB34" s="169"/>
      <c r="AC34" s="155">
        <f t="shared" si="1"/>
        <v>126.072</v>
      </c>
      <c r="AD34" s="162">
        <f t="shared" si="2"/>
        <v>0</v>
      </c>
      <c r="AF34" s="173">
        <f>+E34</f>
        <v>126.072</v>
      </c>
      <c r="AH34" s="155">
        <f t="shared" si="3"/>
        <v>0</v>
      </c>
    </row>
    <row r="35" spans="1:34" ht="78.75">
      <c r="A35" s="111"/>
      <c r="B35" s="111"/>
      <c r="C35" s="111"/>
      <c r="D35" s="151" t="s">
        <v>1301</v>
      </c>
      <c r="E35" s="183">
        <v>605</v>
      </c>
      <c r="F35" s="111"/>
      <c r="G35" s="168">
        <f t="shared" si="6"/>
        <v>0</v>
      </c>
      <c r="H35" s="185"/>
      <c r="I35" s="185"/>
      <c r="J35" s="111"/>
      <c r="K35" s="111"/>
      <c r="L35" s="111"/>
      <c r="M35" s="111"/>
      <c r="N35" s="111"/>
      <c r="O35" s="111"/>
      <c r="P35" s="111"/>
      <c r="Q35" s="111"/>
      <c r="R35" s="111"/>
      <c r="S35" s="111" t="s">
        <v>1302</v>
      </c>
      <c r="T35" s="111"/>
      <c r="U35" s="169"/>
      <c r="V35" s="169"/>
      <c r="W35" s="169"/>
      <c r="X35" s="169"/>
      <c r="Y35" s="169"/>
      <c r="Z35" s="169"/>
      <c r="AA35" s="169"/>
      <c r="AB35" s="187">
        <f>+E35</f>
        <v>605</v>
      </c>
      <c r="AC35" s="155">
        <f t="shared" si="1"/>
        <v>605</v>
      </c>
      <c r="AD35" s="162">
        <f t="shared" si="2"/>
        <v>0</v>
      </c>
      <c r="AE35" s="173">
        <f>+E35</f>
        <v>605</v>
      </c>
      <c r="AH35" s="155">
        <f t="shared" si="3"/>
        <v>0</v>
      </c>
    </row>
    <row r="36" spans="1:34" ht="78.75">
      <c r="A36" s="111"/>
      <c r="B36" s="111"/>
      <c r="C36" s="111"/>
      <c r="D36" s="150" t="s">
        <v>1304</v>
      </c>
      <c r="E36" s="183">
        <v>3055</v>
      </c>
      <c r="F36" s="111"/>
      <c r="G36" s="168">
        <f t="shared" si="6"/>
        <v>0</v>
      </c>
      <c r="H36" s="185"/>
      <c r="I36" s="185"/>
      <c r="J36" s="111"/>
      <c r="K36" s="111"/>
      <c r="L36" s="111"/>
      <c r="M36" s="111"/>
      <c r="N36" s="111"/>
      <c r="O36" s="111"/>
      <c r="P36" s="111"/>
      <c r="Q36" s="111"/>
      <c r="R36" s="111"/>
      <c r="S36" s="111" t="s">
        <v>1266</v>
      </c>
      <c r="T36" s="111"/>
      <c r="U36" s="169"/>
      <c r="V36" s="169"/>
      <c r="W36" s="169"/>
      <c r="X36" s="169"/>
      <c r="Y36" s="169"/>
      <c r="Z36" s="169"/>
      <c r="AA36" s="187">
        <f>+E36</f>
        <v>3055</v>
      </c>
      <c r="AB36" s="169"/>
      <c r="AC36" s="155">
        <f t="shared" si="1"/>
        <v>3055</v>
      </c>
      <c r="AD36" s="162">
        <f t="shared" si="2"/>
        <v>0</v>
      </c>
      <c r="AF36" s="173">
        <f>+E36</f>
        <v>3055</v>
      </c>
      <c r="AH36" s="155">
        <f t="shared" si="3"/>
        <v>0</v>
      </c>
    </row>
    <row r="37" spans="1:34" ht="63">
      <c r="A37" s="111"/>
      <c r="B37" s="111"/>
      <c r="C37" s="111"/>
      <c r="D37" s="150" t="s">
        <v>1305</v>
      </c>
      <c r="E37" s="183">
        <v>93187</v>
      </c>
      <c r="F37" s="111"/>
      <c r="G37" s="168">
        <f t="shared" si="6"/>
        <v>0</v>
      </c>
      <c r="H37" s="185"/>
      <c r="I37" s="185"/>
      <c r="J37" s="111"/>
      <c r="K37" s="111"/>
      <c r="L37" s="111"/>
      <c r="M37" s="111"/>
      <c r="N37" s="111"/>
      <c r="O37" s="111"/>
      <c r="P37" s="111"/>
      <c r="Q37" s="111"/>
      <c r="R37" s="111"/>
      <c r="S37" s="111" t="s">
        <v>1306</v>
      </c>
      <c r="T37" s="111"/>
      <c r="U37" s="169"/>
      <c r="V37" s="169"/>
      <c r="W37" s="169"/>
      <c r="X37" s="169"/>
      <c r="Y37" s="169"/>
      <c r="Z37" s="187">
        <f>+E37</f>
        <v>93187</v>
      </c>
      <c r="AA37" s="169"/>
      <c r="AB37" s="169"/>
      <c r="AC37" s="155">
        <f t="shared" si="1"/>
        <v>93187</v>
      </c>
      <c r="AD37" s="162">
        <f t="shared" si="2"/>
        <v>0</v>
      </c>
      <c r="AF37" s="173">
        <f>+E37</f>
        <v>93187</v>
      </c>
      <c r="AH37" s="155">
        <f t="shared" si="3"/>
        <v>0</v>
      </c>
    </row>
    <row r="38" spans="1:34" ht="78.75">
      <c r="A38" s="111"/>
      <c r="B38" s="111"/>
      <c r="C38" s="111"/>
      <c r="D38" s="152" t="s">
        <v>1307</v>
      </c>
      <c r="E38" s="183">
        <v>1950</v>
      </c>
      <c r="F38" s="111"/>
      <c r="G38" s="168">
        <f t="shared" si="6"/>
        <v>0</v>
      </c>
      <c r="H38" s="185"/>
      <c r="I38" s="185"/>
      <c r="J38" s="111"/>
      <c r="K38" s="111"/>
      <c r="L38" s="111"/>
      <c r="M38" s="111"/>
      <c r="N38" s="111"/>
      <c r="O38" s="111"/>
      <c r="P38" s="111"/>
      <c r="Q38" s="111"/>
      <c r="R38" s="111"/>
      <c r="S38" s="111" t="s">
        <v>1303</v>
      </c>
      <c r="T38" s="111"/>
      <c r="U38" s="169"/>
      <c r="V38" s="169"/>
      <c r="W38" s="169"/>
      <c r="X38" s="169"/>
      <c r="Y38" s="187">
        <f>+E38</f>
        <v>1950</v>
      </c>
      <c r="Z38" s="169"/>
      <c r="AA38" s="169"/>
      <c r="AB38" s="169"/>
      <c r="AC38" s="155">
        <f t="shared" si="1"/>
        <v>1950</v>
      </c>
      <c r="AD38" s="162">
        <f t="shared" si="2"/>
        <v>0</v>
      </c>
      <c r="AE38" s="173">
        <f>+E38</f>
        <v>1950</v>
      </c>
      <c r="AH38" s="155">
        <f t="shared" si="3"/>
        <v>0</v>
      </c>
    </row>
    <row r="39" spans="1:34" ht="47.25">
      <c r="A39" s="111"/>
      <c r="B39" s="111"/>
      <c r="C39" s="111"/>
      <c r="D39" s="150" t="s">
        <v>1308</v>
      </c>
      <c r="E39" s="183">
        <v>17098.461512000002</v>
      </c>
      <c r="F39" s="111"/>
      <c r="G39" s="168">
        <f t="shared" si="6"/>
        <v>7717.5384880000001</v>
      </c>
      <c r="H39" s="140">
        <v>7717.5384880000001</v>
      </c>
      <c r="I39" s="185"/>
      <c r="J39" s="111"/>
      <c r="K39" s="111"/>
      <c r="L39" s="111"/>
      <c r="M39" s="140">
        <v>7717.5384880000001</v>
      </c>
      <c r="N39" s="140">
        <f>M39</f>
        <v>7717.5384880000001</v>
      </c>
      <c r="O39" s="140"/>
      <c r="P39" s="111"/>
      <c r="Q39" s="111"/>
      <c r="R39" s="111"/>
      <c r="S39" s="111" t="s">
        <v>1300</v>
      </c>
      <c r="T39" s="111"/>
      <c r="U39" s="169"/>
      <c r="V39" s="169"/>
      <c r="W39" s="169"/>
      <c r="X39" s="169"/>
      <c r="Y39" s="169"/>
      <c r="Z39" s="187">
        <f>+E39</f>
        <v>17098.461512000002</v>
      </c>
      <c r="AA39" s="169"/>
      <c r="AB39" s="169"/>
      <c r="AC39" s="155">
        <f t="shared" si="1"/>
        <v>17098.461512000002</v>
      </c>
      <c r="AD39" s="162">
        <f t="shared" si="2"/>
        <v>0</v>
      </c>
      <c r="AE39" s="173">
        <f>+E39</f>
        <v>17098.461512000002</v>
      </c>
      <c r="AH39" s="155">
        <f t="shared" si="3"/>
        <v>0</v>
      </c>
    </row>
    <row r="40" spans="1:34" ht="47.25">
      <c r="A40" s="111"/>
      <c r="B40" s="111"/>
      <c r="C40" s="111"/>
      <c r="D40" s="153" t="s">
        <v>1309</v>
      </c>
      <c r="E40" s="183">
        <v>585</v>
      </c>
      <c r="F40" s="111"/>
      <c r="G40" s="168">
        <f t="shared" si="6"/>
        <v>0</v>
      </c>
      <c r="H40" s="185"/>
      <c r="I40" s="185"/>
      <c r="J40" s="111"/>
      <c r="K40" s="111"/>
      <c r="L40" s="111"/>
      <c r="M40" s="111"/>
      <c r="N40" s="111"/>
      <c r="O40" s="111"/>
      <c r="P40" s="111"/>
      <c r="Q40" s="111"/>
      <c r="R40" s="111"/>
      <c r="S40" s="111" t="s">
        <v>1310</v>
      </c>
      <c r="T40" s="111"/>
      <c r="U40" s="169"/>
      <c r="V40" s="169"/>
      <c r="W40" s="169"/>
      <c r="X40" s="169"/>
      <c r="Y40" s="187">
        <f>+E40</f>
        <v>585</v>
      </c>
      <c r="Z40" s="169"/>
      <c r="AA40" s="169"/>
      <c r="AB40" s="169"/>
      <c r="AC40" s="155">
        <f t="shared" si="1"/>
        <v>585</v>
      </c>
      <c r="AD40" s="162">
        <f t="shared" si="2"/>
        <v>0</v>
      </c>
      <c r="AE40" s="173">
        <f>+E40</f>
        <v>585</v>
      </c>
      <c r="AH40" s="155">
        <f t="shared" si="3"/>
        <v>0</v>
      </c>
    </row>
    <row r="41" spans="1:34" ht="47.25">
      <c r="A41" s="111"/>
      <c r="B41" s="111"/>
      <c r="C41" s="111"/>
      <c r="D41" s="153" t="s">
        <v>1311</v>
      </c>
      <c r="E41" s="188">
        <v>1399.5266059999999</v>
      </c>
      <c r="F41" s="183" t="e">
        <f>+#REF!-#REF!+#REF!-#REF!</f>
        <v>#REF!</v>
      </c>
      <c r="G41" s="168">
        <f t="shared" si="6"/>
        <v>34900</v>
      </c>
      <c r="H41" s="185">
        <v>34900</v>
      </c>
      <c r="I41" s="185"/>
      <c r="J41" s="183" t="e">
        <f>+F41</f>
        <v>#REF!</v>
      </c>
      <c r="K41" s="183" t="e">
        <f>J41</f>
        <v>#REF!</v>
      </c>
      <c r="L41" s="183"/>
      <c r="M41" s="183"/>
      <c r="N41" s="183"/>
      <c r="O41" s="183"/>
      <c r="P41" s="183"/>
      <c r="Q41" s="183"/>
      <c r="R41" s="183"/>
      <c r="S41" s="111" t="s">
        <v>1306</v>
      </c>
      <c r="T41" s="111" t="s">
        <v>1312</v>
      </c>
      <c r="U41" s="169"/>
      <c r="V41" s="169"/>
      <c r="W41" s="169"/>
      <c r="X41" s="169"/>
      <c r="Y41" s="169"/>
      <c r="Z41" s="189">
        <f>+E41</f>
        <v>1399.5266059999999</v>
      </c>
      <c r="AA41" s="169"/>
      <c r="AB41" s="169"/>
      <c r="AC41" s="155">
        <f t="shared" si="1"/>
        <v>1399.5266059999999</v>
      </c>
      <c r="AD41" s="162">
        <f t="shared" si="2"/>
        <v>0</v>
      </c>
      <c r="AF41" s="190">
        <f>+E41</f>
        <v>1399.5266059999999</v>
      </c>
      <c r="AH41" s="155">
        <f t="shared" si="3"/>
        <v>0</v>
      </c>
    </row>
    <row r="42" spans="1:34" ht="31.5">
      <c r="A42" s="111"/>
      <c r="B42" s="111"/>
      <c r="C42" s="111"/>
      <c r="D42" s="110" t="s">
        <v>1313</v>
      </c>
      <c r="E42" s="183">
        <v>1322.4870000000001</v>
      </c>
      <c r="F42" s="183" t="e">
        <f>+#REF!-#REF!+#REF!-#REF!</f>
        <v>#REF!</v>
      </c>
      <c r="G42" s="168">
        <f t="shared" si="6"/>
        <v>0</v>
      </c>
      <c r="H42" s="185"/>
      <c r="I42" s="185"/>
      <c r="J42" s="111"/>
      <c r="K42" s="111"/>
      <c r="L42" s="111"/>
      <c r="M42" s="111"/>
      <c r="N42" s="111"/>
      <c r="O42" s="111"/>
      <c r="P42" s="111"/>
      <c r="Q42" s="111"/>
      <c r="R42" s="111"/>
      <c r="S42" s="111" t="s">
        <v>181</v>
      </c>
      <c r="T42" s="111"/>
      <c r="U42" s="169"/>
      <c r="V42" s="169"/>
      <c r="W42" s="169"/>
      <c r="X42" s="169"/>
      <c r="Y42" s="169"/>
      <c r="Z42" s="187">
        <f>+E42</f>
        <v>1322.4870000000001</v>
      </c>
      <c r="AA42" s="169"/>
      <c r="AB42" s="169"/>
      <c r="AC42" s="155">
        <f t="shared" si="1"/>
        <v>1322.4870000000001</v>
      </c>
      <c r="AD42" s="162">
        <f t="shared" si="2"/>
        <v>0</v>
      </c>
      <c r="AE42" s="173">
        <f>+E42</f>
        <v>1322.4870000000001</v>
      </c>
      <c r="AH42" s="155">
        <f t="shared" si="3"/>
        <v>0</v>
      </c>
    </row>
    <row r="43" spans="1:34" ht="45">
      <c r="A43" s="111"/>
      <c r="B43" s="111"/>
      <c r="C43" s="111"/>
      <c r="D43" s="180" t="s">
        <v>1314</v>
      </c>
      <c r="E43" s="111">
        <v>2995</v>
      </c>
      <c r="F43" s="183" t="e">
        <f>+#REF!-#REF!+#REF!-#REF!</f>
        <v>#REF!</v>
      </c>
      <c r="G43" s="168">
        <f t="shared" si="6"/>
        <v>0</v>
      </c>
      <c r="H43" s="185"/>
      <c r="I43" s="185"/>
      <c r="J43" s="111"/>
      <c r="K43" s="111"/>
      <c r="L43" s="111"/>
      <c r="M43" s="111"/>
      <c r="N43" s="111"/>
      <c r="O43" s="111"/>
      <c r="P43" s="111"/>
      <c r="Q43" s="111"/>
      <c r="R43" s="111"/>
      <c r="S43" s="111" t="s">
        <v>1315</v>
      </c>
      <c r="T43" s="111"/>
      <c r="U43" s="169"/>
      <c r="V43" s="169"/>
      <c r="W43" s="169"/>
      <c r="X43" s="169"/>
      <c r="Y43" s="169"/>
      <c r="Z43" s="169"/>
      <c r="AA43" s="169"/>
      <c r="AB43" s="169">
        <f>+E43</f>
        <v>2995</v>
      </c>
      <c r="AC43" s="155">
        <f t="shared" si="1"/>
        <v>2995</v>
      </c>
      <c r="AD43" s="162">
        <f t="shared" si="2"/>
        <v>0</v>
      </c>
      <c r="AE43" s="154">
        <f>+E43</f>
        <v>2995</v>
      </c>
      <c r="AH43" s="155">
        <f t="shared" si="3"/>
        <v>0</v>
      </c>
    </row>
    <row r="44" spans="1:34" ht="75">
      <c r="A44" s="111"/>
      <c r="B44" s="111"/>
      <c r="C44" s="111"/>
      <c r="D44" s="32" t="s">
        <v>1316</v>
      </c>
      <c r="E44" s="111">
        <v>2500</v>
      </c>
      <c r="F44" s="183" t="e">
        <f>+#REF!-#REF!+#REF!-#REF!</f>
        <v>#REF!</v>
      </c>
      <c r="G44" s="168">
        <f t="shared" si="6"/>
        <v>0</v>
      </c>
      <c r="H44" s="185"/>
      <c r="I44" s="185"/>
      <c r="J44" s="111"/>
      <c r="K44" s="111"/>
      <c r="L44" s="111"/>
      <c r="M44" s="111"/>
      <c r="N44" s="111"/>
      <c r="O44" s="111"/>
      <c r="P44" s="111"/>
      <c r="Q44" s="111"/>
      <c r="R44" s="111"/>
      <c r="S44" s="111" t="s">
        <v>1306</v>
      </c>
      <c r="T44" s="111"/>
      <c r="U44" s="169"/>
      <c r="V44" s="169"/>
      <c r="W44" s="169"/>
      <c r="X44" s="169"/>
      <c r="Y44" s="169"/>
      <c r="Z44" s="169">
        <f>+E44</f>
        <v>2500</v>
      </c>
      <c r="AA44" s="169"/>
      <c r="AB44" s="169"/>
      <c r="AC44" s="155">
        <f t="shared" si="1"/>
        <v>2500</v>
      </c>
      <c r="AD44" s="162">
        <f t="shared" si="2"/>
        <v>0</v>
      </c>
      <c r="AF44" s="154">
        <f>+E44</f>
        <v>2500</v>
      </c>
      <c r="AH44" s="155">
        <f t="shared" si="3"/>
        <v>0</v>
      </c>
    </row>
    <row r="45" spans="1:34" ht="60">
      <c r="A45" s="111"/>
      <c r="B45" s="111"/>
      <c r="C45" s="111"/>
      <c r="D45" s="191" t="s">
        <v>1317</v>
      </c>
      <c r="E45" s="183">
        <v>1150</v>
      </c>
      <c r="F45" s="183" t="e">
        <f>+#REF!-#REF!+#REF!-#REF!</f>
        <v>#REF!</v>
      </c>
      <c r="G45" s="168">
        <f t="shared" si="6"/>
        <v>0</v>
      </c>
      <c r="H45" s="185"/>
      <c r="I45" s="185"/>
      <c r="J45" s="111"/>
      <c r="K45" s="111"/>
      <c r="L45" s="111"/>
      <c r="M45" s="111"/>
      <c r="N45" s="111"/>
      <c r="O45" s="111"/>
      <c r="P45" s="111"/>
      <c r="Q45" s="111"/>
      <c r="R45" s="111"/>
      <c r="S45" s="111" t="s">
        <v>1318</v>
      </c>
      <c r="T45" s="111"/>
      <c r="U45" s="169"/>
      <c r="V45" s="169"/>
      <c r="W45" s="169"/>
      <c r="X45" s="169"/>
      <c r="Y45" s="187">
        <f>+E45</f>
        <v>1150</v>
      </c>
      <c r="Z45" s="169"/>
      <c r="AA45" s="169"/>
      <c r="AB45" s="169"/>
      <c r="AC45" s="155">
        <f t="shared" si="1"/>
        <v>1150</v>
      </c>
      <c r="AD45" s="162">
        <f t="shared" si="2"/>
        <v>0</v>
      </c>
      <c r="AE45" s="173">
        <f>+E45</f>
        <v>1150</v>
      </c>
      <c r="AH45" s="155">
        <f t="shared" si="3"/>
        <v>0</v>
      </c>
    </row>
    <row r="46" spans="1:34" ht="75">
      <c r="A46" s="111"/>
      <c r="B46" s="111"/>
      <c r="C46" s="111"/>
      <c r="D46" s="32" t="s">
        <v>1319</v>
      </c>
      <c r="E46" s="183">
        <v>2668</v>
      </c>
      <c r="F46" s="183" t="e">
        <f>+#REF!-#REF!+#REF!-#REF!</f>
        <v>#REF!</v>
      </c>
      <c r="G46" s="168">
        <f t="shared" si="6"/>
        <v>0</v>
      </c>
      <c r="H46" s="185"/>
      <c r="I46" s="185"/>
      <c r="J46" s="111"/>
      <c r="K46" s="111"/>
      <c r="L46" s="111"/>
      <c r="M46" s="111"/>
      <c r="N46" s="111"/>
      <c r="O46" s="111"/>
      <c r="P46" s="111"/>
      <c r="Q46" s="111"/>
      <c r="R46" s="111"/>
      <c r="S46" s="111" t="s">
        <v>1306</v>
      </c>
      <c r="T46" s="111"/>
      <c r="U46" s="169"/>
      <c r="V46" s="169"/>
      <c r="W46" s="169"/>
      <c r="X46" s="187">
        <f>+E46</f>
        <v>2668</v>
      </c>
      <c r="Y46" s="169"/>
      <c r="Z46" s="169"/>
      <c r="AA46" s="169"/>
      <c r="AB46" s="169"/>
      <c r="AC46" s="155">
        <f t="shared" si="1"/>
        <v>2668</v>
      </c>
      <c r="AD46" s="162">
        <f t="shared" si="2"/>
        <v>0</v>
      </c>
      <c r="AF46" s="173">
        <f>+E46</f>
        <v>2668</v>
      </c>
      <c r="AH46" s="155">
        <f t="shared" si="3"/>
        <v>0</v>
      </c>
    </row>
    <row r="47" spans="1:34" ht="45">
      <c r="A47" s="111"/>
      <c r="B47" s="111"/>
      <c r="C47" s="111"/>
      <c r="D47" s="32" t="s">
        <v>1320</v>
      </c>
      <c r="E47" s="140">
        <v>9591</v>
      </c>
      <c r="F47" s="183" t="e">
        <f>+#REF!-#REF!+#REF!-#REF!</f>
        <v>#REF!</v>
      </c>
      <c r="G47" s="168" t="e">
        <f t="shared" si="6"/>
        <v>#REF!</v>
      </c>
      <c r="H47" s="185" t="e">
        <f>+J47+M47</f>
        <v>#REF!</v>
      </c>
      <c r="I47" s="185"/>
      <c r="J47" s="183" t="e">
        <f>+F47</f>
        <v>#REF!</v>
      </c>
      <c r="K47" s="183" t="e">
        <f>J47</f>
        <v>#REF!</v>
      </c>
      <c r="L47" s="183"/>
      <c r="M47" s="140" t="e">
        <f>#REF!-#REF!</f>
        <v>#REF!</v>
      </c>
      <c r="N47" s="140" t="e">
        <f>M47</f>
        <v>#REF!</v>
      </c>
      <c r="O47" s="140"/>
      <c r="P47" s="183"/>
      <c r="Q47" s="183"/>
      <c r="R47" s="183"/>
      <c r="S47" s="111" t="s">
        <v>187</v>
      </c>
      <c r="T47" s="111" t="s">
        <v>1321</v>
      </c>
      <c r="U47" s="169"/>
      <c r="V47" s="169"/>
      <c r="W47" s="169"/>
      <c r="X47" s="187">
        <f>+E47</f>
        <v>9591</v>
      </c>
      <c r="Y47" s="169"/>
      <c r="Z47" s="169"/>
      <c r="AA47" s="169"/>
      <c r="AB47" s="169"/>
      <c r="AC47" s="155">
        <f t="shared" si="1"/>
        <v>9591</v>
      </c>
      <c r="AD47" s="162">
        <f t="shared" si="2"/>
        <v>0</v>
      </c>
      <c r="AE47" s="173">
        <f>+E47</f>
        <v>9591</v>
      </c>
      <c r="AH47" s="155">
        <f t="shared" si="3"/>
        <v>0</v>
      </c>
    </row>
    <row r="48" spans="1:34" ht="63">
      <c r="A48" s="111"/>
      <c r="B48" s="111"/>
      <c r="C48" s="111"/>
      <c r="D48" s="150" t="s">
        <v>1323</v>
      </c>
      <c r="E48" s="183">
        <v>12345</v>
      </c>
      <c r="F48" s="183" t="e">
        <f>+#REF!-#REF!+#REF!-#REF!</f>
        <v>#REF!</v>
      </c>
      <c r="G48" s="168">
        <f t="shared" si="6"/>
        <v>8830</v>
      </c>
      <c r="H48" s="185">
        <v>8830</v>
      </c>
      <c r="I48" s="185"/>
      <c r="J48" s="183" t="e">
        <f>+F48</f>
        <v>#REF!</v>
      </c>
      <c r="K48" s="183" t="e">
        <f>J48</f>
        <v>#REF!</v>
      </c>
      <c r="L48" s="183"/>
      <c r="M48" s="183"/>
      <c r="N48" s="183"/>
      <c r="O48" s="183"/>
      <c r="P48" s="183"/>
      <c r="Q48" s="183"/>
      <c r="R48" s="183"/>
      <c r="S48" s="111" t="s">
        <v>1306</v>
      </c>
      <c r="T48" s="111" t="s">
        <v>1324</v>
      </c>
      <c r="U48" s="169"/>
      <c r="V48" s="169"/>
      <c r="W48" s="169"/>
      <c r="X48" s="169"/>
      <c r="Y48" s="169"/>
      <c r="Z48" s="187">
        <f>+E48</f>
        <v>12345</v>
      </c>
      <c r="AA48" s="169"/>
      <c r="AB48" s="169"/>
      <c r="AC48" s="155">
        <f t="shared" si="1"/>
        <v>12345</v>
      </c>
      <c r="AD48" s="162">
        <f t="shared" si="2"/>
        <v>0</v>
      </c>
      <c r="AF48" s="173">
        <f>+E48</f>
        <v>12345</v>
      </c>
      <c r="AH48" s="155">
        <f t="shared" si="3"/>
        <v>0</v>
      </c>
    </row>
    <row r="49" spans="4:18" ht="15.75" customHeight="1">
      <c r="N49" s="525" t="s">
        <v>1325</v>
      </c>
      <c r="O49" s="525"/>
      <c r="P49" s="525"/>
      <c r="Q49" s="525"/>
      <c r="R49" s="525"/>
    </row>
    <row r="50" spans="4:18" ht="15.75" customHeight="1">
      <c r="N50" s="517" t="s">
        <v>1326</v>
      </c>
      <c r="O50" s="517"/>
      <c r="P50" s="517"/>
      <c r="Q50" s="517"/>
      <c r="R50" s="517"/>
    </row>
    <row r="53" spans="4:18" ht="47.25">
      <c r="D53" s="154" t="s">
        <v>1327</v>
      </c>
    </row>
    <row r="54" spans="4:18" ht="31.5">
      <c r="D54" s="154" t="s">
        <v>1328</v>
      </c>
    </row>
    <row r="55" spans="4:18">
      <c r="D55" s="154" t="s">
        <v>1329</v>
      </c>
    </row>
    <row r="56" spans="4:18" ht="31.5">
      <c r="D56" s="167" t="s">
        <v>1330</v>
      </c>
    </row>
    <row r="57" spans="4:18" ht="31.5">
      <c r="D57" s="154" t="s">
        <v>1331</v>
      </c>
    </row>
    <row r="58" spans="4:18">
      <c r="D58" s="154" t="s">
        <v>1332</v>
      </c>
    </row>
    <row r="59" spans="4:18" ht="31.5">
      <c r="D59" s="154" t="s">
        <v>1333</v>
      </c>
    </row>
    <row r="60" spans="4:18" ht="31.5">
      <c r="D60" s="154" t="s">
        <v>1334</v>
      </c>
    </row>
    <row r="64" spans="4:18">
      <c r="D64" s="167" t="s">
        <v>0</v>
      </c>
    </row>
    <row r="65" spans="4:29">
      <c r="D65" s="154" t="s">
        <v>1335</v>
      </c>
    </row>
    <row r="66" spans="4:29">
      <c r="D66" s="154" t="s">
        <v>1336</v>
      </c>
    </row>
    <row r="67" spans="4:29">
      <c r="D67" s="154" t="s">
        <v>1337</v>
      </c>
    </row>
    <row r="68" spans="4:29">
      <c r="D68" s="154" t="s">
        <v>1338</v>
      </c>
    </row>
    <row r="69" spans="4:29">
      <c r="D69" s="154" t="s">
        <v>1109</v>
      </c>
    </row>
    <row r="72" spans="4:29">
      <c r="D72" s="154" t="s">
        <v>1339</v>
      </c>
    </row>
    <row r="73" spans="4:29" s="174" customFormat="1">
      <c r="D73" s="174" t="s">
        <v>1340</v>
      </c>
      <c r="AC73" s="192"/>
    </row>
    <row r="74" spans="4:29" s="174" customFormat="1">
      <c r="D74" s="174" t="s">
        <v>1341</v>
      </c>
      <c r="AC74" s="192"/>
    </row>
    <row r="75" spans="4:29" s="174" customFormat="1">
      <c r="AC75" s="192"/>
    </row>
    <row r="76" spans="4:29" ht="31.5">
      <c r="D76" s="154" t="s">
        <v>1342</v>
      </c>
    </row>
    <row r="77" spans="4:29" ht="31.5">
      <c r="D77" s="154" t="s">
        <v>1343</v>
      </c>
    </row>
    <row r="78" spans="4:29">
      <c r="D78" s="154" t="s">
        <v>1181</v>
      </c>
    </row>
    <row r="79" spans="4:29" ht="45" customHeight="1">
      <c r="D79" s="32" t="s">
        <v>1320</v>
      </c>
    </row>
    <row r="80" spans="4:29" ht="60">
      <c r="D80" s="31" t="s">
        <v>1322</v>
      </c>
    </row>
    <row r="81" spans="4:4" ht="47.25">
      <c r="D81" s="150" t="s">
        <v>1308</v>
      </c>
    </row>
  </sheetData>
  <mergeCells count="16">
    <mergeCell ref="F5:F6"/>
    <mergeCell ref="G5:G6"/>
    <mergeCell ref="H5:I5"/>
    <mergeCell ref="A1:D1"/>
    <mergeCell ref="A2:D2"/>
    <mergeCell ref="A3:T3"/>
    <mergeCell ref="S4:T4"/>
    <mergeCell ref="A5:A6"/>
    <mergeCell ref="B5:C5"/>
    <mergeCell ref="D5:D6"/>
    <mergeCell ref="N50:R50"/>
    <mergeCell ref="J5:P5"/>
    <mergeCell ref="S5:S6"/>
    <mergeCell ref="T5:T6"/>
    <mergeCell ref="S9:S10"/>
    <mergeCell ref="N49:R4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74"/>
    <col min="2" max="2" width="49.28515625" customWidth="1"/>
    <col min="3" max="3" width="18.140625" customWidth="1"/>
    <col min="4" max="4" width="11.5703125" bestFit="1" customWidth="1"/>
  </cols>
  <sheetData>
    <row r="2" spans="1:4">
      <c r="A2" s="196" t="s">
        <v>3</v>
      </c>
      <c r="B2" s="197" t="s">
        <v>1174</v>
      </c>
      <c r="C2" s="198"/>
    </row>
    <row r="3" spans="1:4" s="76" customFormat="1" ht="14.25">
      <c r="A3" s="196">
        <v>1</v>
      </c>
      <c r="B3" s="197" t="s">
        <v>1173</v>
      </c>
      <c r="C3" s="199">
        <v>5193915</v>
      </c>
    </row>
    <row r="4" spans="1:4" s="76" customFormat="1" ht="14.25">
      <c r="A4" s="196" t="s">
        <v>1166</v>
      </c>
      <c r="B4" s="197" t="s">
        <v>1158</v>
      </c>
      <c r="C4" s="199">
        <v>4579873</v>
      </c>
    </row>
    <row r="5" spans="1:4">
      <c r="A5" s="114"/>
      <c r="B5" s="198" t="s">
        <v>1169</v>
      </c>
      <c r="C5" s="200">
        <f>SUM(C6:C8)</f>
        <v>1299864</v>
      </c>
    </row>
    <row r="6" spans="1:4" s="194" customFormat="1">
      <c r="A6" s="201"/>
      <c r="B6" s="202" t="s">
        <v>1159</v>
      </c>
      <c r="C6" s="203">
        <v>572440</v>
      </c>
    </row>
    <row r="7" spans="1:4" s="194" customFormat="1">
      <c r="A7" s="201"/>
      <c r="B7" s="202" t="s">
        <v>1160</v>
      </c>
      <c r="C7" s="203">
        <v>393751</v>
      </c>
    </row>
    <row r="8" spans="1:4" s="194" customFormat="1">
      <c r="A8" s="201"/>
      <c r="B8" s="202" t="s">
        <v>1161</v>
      </c>
      <c r="C8" s="203">
        <v>333673</v>
      </c>
    </row>
    <row r="9" spans="1:4" s="76" customFormat="1" ht="14.25">
      <c r="A9" s="196" t="s">
        <v>1167</v>
      </c>
      <c r="B9" s="197" t="s">
        <v>1162</v>
      </c>
      <c r="C9" s="199">
        <v>778500</v>
      </c>
    </row>
    <row r="10" spans="1:4">
      <c r="A10" s="114"/>
      <c r="B10" s="198" t="s">
        <v>1163</v>
      </c>
      <c r="C10" s="200">
        <v>50000</v>
      </c>
    </row>
    <row r="11" spans="1:4">
      <c r="A11" s="114"/>
      <c r="B11" s="198" t="s">
        <v>1164</v>
      </c>
      <c r="C11" s="200">
        <v>145000</v>
      </c>
    </row>
    <row r="12" spans="1:4">
      <c r="A12" s="114"/>
      <c r="B12" s="198" t="s">
        <v>1165</v>
      </c>
      <c r="C12" s="200">
        <v>17500</v>
      </c>
    </row>
    <row r="13" spans="1:4">
      <c r="A13" s="114"/>
      <c r="B13" s="198" t="s">
        <v>1170</v>
      </c>
      <c r="C13" s="200">
        <v>566000</v>
      </c>
    </row>
    <row r="14" spans="1:4" s="76" customFormat="1" ht="14.25">
      <c r="A14" s="196" t="s">
        <v>1171</v>
      </c>
      <c r="B14" s="197" t="s">
        <v>1172</v>
      </c>
      <c r="C14" s="197">
        <v>164458</v>
      </c>
    </row>
    <row r="15" spans="1:4" s="76" customFormat="1" ht="14.25">
      <c r="A15" s="196">
        <v>2</v>
      </c>
      <c r="B15" s="197" t="s">
        <v>1168</v>
      </c>
      <c r="C15" s="199">
        <f>+C3-C5</f>
        <v>3894051</v>
      </c>
      <c r="D15" s="195"/>
    </row>
    <row r="16" spans="1:4" s="76" customFormat="1" ht="14.25">
      <c r="A16" s="196"/>
      <c r="B16" s="197"/>
      <c r="C16" s="199"/>
      <c r="D16" s="195"/>
    </row>
    <row r="17" spans="1:3" s="76" customFormat="1" ht="14.25">
      <c r="A17" s="196" t="s">
        <v>4</v>
      </c>
      <c r="B17" s="197" t="s">
        <v>1175</v>
      </c>
      <c r="C17" s="197"/>
    </row>
    <row r="18" spans="1:3" s="76" customFormat="1" ht="14.25">
      <c r="A18" s="196">
        <v>1</v>
      </c>
      <c r="B18" s="197" t="s">
        <v>1176</v>
      </c>
      <c r="C18" s="199">
        <v>10887646</v>
      </c>
    </row>
    <row r="19" spans="1:3" s="76" customFormat="1" ht="14.25">
      <c r="A19" s="196">
        <v>2</v>
      </c>
      <c r="B19" s="197" t="s">
        <v>1162</v>
      </c>
      <c r="C19" s="199">
        <v>509854</v>
      </c>
    </row>
    <row r="20" spans="1:3">
      <c r="A20" s="114"/>
      <c r="B20" s="198" t="s">
        <v>1357</v>
      </c>
      <c r="C20" s="200">
        <v>11000</v>
      </c>
    </row>
    <row r="21" spans="1:3">
      <c r="A21" s="114"/>
      <c r="B21" s="198" t="s">
        <v>1358</v>
      </c>
      <c r="C21" s="200">
        <v>331354</v>
      </c>
    </row>
    <row r="22" spans="1:3">
      <c r="A22" s="114"/>
      <c r="B22" s="198" t="s">
        <v>1359</v>
      </c>
      <c r="C22" s="200">
        <v>17500</v>
      </c>
    </row>
    <row r="23" spans="1:3">
      <c r="A23" s="114"/>
      <c r="B23" s="198" t="s">
        <v>1360</v>
      </c>
      <c r="C23" s="200">
        <v>50000</v>
      </c>
    </row>
    <row r="24" spans="1:3">
      <c r="A24" s="114"/>
      <c r="B24" s="198" t="s">
        <v>1361</v>
      </c>
      <c r="C24" s="200">
        <v>100000</v>
      </c>
    </row>
    <row r="25" spans="1:3" s="76" customFormat="1" ht="29.25" customHeight="1">
      <c r="A25" s="196">
        <v>3</v>
      </c>
      <c r="B25" s="204" t="s">
        <v>1352</v>
      </c>
      <c r="C25" s="199">
        <v>250096</v>
      </c>
    </row>
    <row r="26" spans="1:3" s="76" customFormat="1">
      <c r="A26" s="196"/>
      <c r="B26" s="205" t="s">
        <v>1353</v>
      </c>
      <c r="C26" s="206">
        <v>213946</v>
      </c>
    </row>
    <row r="27" spans="1:3" s="76" customFormat="1">
      <c r="A27" s="196"/>
      <c r="B27" s="205" t="s">
        <v>1354</v>
      </c>
      <c r="C27" s="206">
        <v>14450</v>
      </c>
    </row>
    <row r="28" spans="1:3" s="76" customFormat="1">
      <c r="A28" s="196"/>
      <c r="B28" s="205" t="s">
        <v>1355</v>
      </c>
      <c r="C28" s="206">
        <v>21700</v>
      </c>
    </row>
    <row r="29" spans="1:3" s="76" customFormat="1" ht="14.25">
      <c r="A29" s="196">
        <v>4</v>
      </c>
      <c r="B29" s="197" t="s">
        <v>1356</v>
      </c>
      <c r="C29" s="199">
        <f>+C18+C19-C25</f>
        <v>11147404</v>
      </c>
    </row>
    <row r="33" spans="1:4">
      <c r="A33" s="196" t="s">
        <v>3</v>
      </c>
      <c r="B33" s="197" t="s">
        <v>1364</v>
      </c>
      <c r="C33" s="198"/>
    </row>
    <row r="34" spans="1:4" s="76" customFormat="1" ht="14.25">
      <c r="A34" s="196">
        <v>1</v>
      </c>
      <c r="B34" s="197" t="s">
        <v>1177</v>
      </c>
      <c r="C34" s="199">
        <v>3219404</v>
      </c>
    </row>
    <row r="35" spans="1:4">
      <c r="A35" s="114">
        <v>2</v>
      </c>
      <c r="B35" s="198" t="s">
        <v>1366</v>
      </c>
      <c r="C35" s="200">
        <v>50000</v>
      </c>
    </row>
    <row r="36" spans="1:4">
      <c r="A36" s="114">
        <v>3</v>
      </c>
      <c r="B36" s="198" t="s">
        <v>1178</v>
      </c>
      <c r="C36" s="200">
        <v>164458</v>
      </c>
    </row>
    <row r="37" spans="1:4" s="76" customFormat="1" ht="14.25">
      <c r="A37" s="196">
        <v>4</v>
      </c>
      <c r="B37" s="197" t="s">
        <v>1362</v>
      </c>
      <c r="C37" s="199">
        <f>+C34+C35-C36</f>
        <v>3104946</v>
      </c>
      <c r="D37" s="195"/>
    </row>
    <row r="38" spans="1:4" s="76" customFormat="1" ht="14.25">
      <c r="A38" s="196" t="s">
        <v>4</v>
      </c>
      <c r="B38" s="197" t="s">
        <v>1365</v>
      </c>
      <c r="C38" s="199"/>
    </row>
    <row r="39" spans="1:4" s="76" customFormat="1" ht="14.25">
      <c r="A39" s="196">
        <v>1</v>
      </c>
      <c r="B39" s="197" t="s">
        <v>1179</v>
      </c>
      <c r="C39" s="199">
        <v>4715224</v>
      </c>
    </row>
    <row r="40" spans="1:4">
      <c r="A40" s="114">
        <v>2</v>
      </c>
      <c r="B40" s="198" t="s">
        <v>1180</v>
      </c>
      <c r="C40" s="200">
        <v>70000</v>
      </c>
    </row>
    <row r="41" spans="1:4">
      <c r="A41" s="114">
        <v>3</v>
      </c>
      <c r="B41" s="198" t="s">
        <v>1199</v>
      </c>
      <c r="C41" s="200">
        <v>40022</v>
      </c>
    </row>
    <row r="42" spans="1:4">
      <c r="A42" s="114"/>
      <c r="B42" s="198" t="s">
        <v>1369</v>
      </c>
      <c r="C42" s="200">
        <v>32000</v>
      </c>
    </row>
    <row r="43" spans="1:4">
      <c r="A43" s="114"/>
      <c r="B43" s="198" t="s">
        <v>1370</v>
      </c>
      <c r="C43" s="200">
        <v>2900</v>
      </c>
    </row>
    <row r="44" spans="1:4">
      <c r="A44" s="114"/>
      <c r="B44" s="198" t="s">
        <v>1371</v>
      </c>
      <c r="C44" s="200">
        <v>5122</v>
      </c>
    </row>
    <row r="45" spans="1:4">
      <c r="A45" s="114">
        <v>4</v>
      </c>
      <c r="B45" s="198" t="s">
        <v>1367</v>
      </c>
      <c r="C45" s="200">
        <v>124440</v>
      </c>
    </row>
    <row r="46" spans="1:4">
      <c r="A46" s="114">
        <v>5</v>
      </c>
      <c r="B46" s="198" t="s">
        <v>1368</v>
      </c>
      <c r="C46" s="200">
        <v>331354</v>
      </c>
    </row>
    <row r="47" spans="1:4" s="76" customFormat="1" ht="14.25">
      <c r="A47" s="196">
        <v>6</v>
      </c>
      <c r="B47" s="197" t="s">
        <v>1363</v>
      </c>
      <c r="C47" s="199">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11">
        <v>67874.848255999997</v>
      </c>
      <c r="D2">
        <v>1000000</v>
      </c>
    </row>
    <row r="3" spans="2:4">
      <c r="B3" t="s">
        <v>1257</v>
      </c>
      <c r="C3" s="208">
        <v>10746.877</v>
      </c>
    </row>
    <row r="4" spans="2:4">
      <c r="B4" t="s">
        <v>1251</v>
      </c>
      <c r="C4" s="208">
        <v>398.13</v>
      </c>
    </row>
    <row r="5" spans="2:4">
      <c r="B5" t="s">
        <v>1255</v>
      </c>
      <c r="C5" s="208">
        <v>7248.1365640000004</v>
      </c>
    </row>
    <row r="6" spans="2:4">
      <c r="B6" t="s">
        <v>1373</v>
      </c>
      <c r="C6" s="208">
        <v>3272.1266919999998</v>
      </c>
    </row>
    <row r="7" spans="2:4">
      <c r="B7" t="s">
        <v>1253</v>
      </c>
      <c r="C7" s="208">
        <v>43903.629000000001</v>
      </c>
    </row>
    <row r="8" spans="2:4">
      <c r="B8" t="s">
        <v>1256</v>
      </c>
      <c r="C8" s="208">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289">
        <f>SUM(C3:C5)</f>
        <v>22915.213146999999</v>
      </c>
    </row>
    <row r="3" spans="2:3" ht="18.75">
      <c r="B3" t="s">
        <v>1437</v>
      </c>
      <c r="C3" s="290">
        <v>17515.213146999999</v>
      </c>
    </row>
    <row r="4" spans="2:3">
      <c r="B4" t="s">
        <v>1438</v>
      </c>
      <c r="C4" s="208">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09" customWidth="1"/>
    <col min="2" max="2" width="16.85546875" style="410" customWidth="1"/>
    <col min="3" max="3" width="11.7109375" style="411" customWidth="1"/>
    <col min="4" max="4" width="10" style="411" customWidth="1"/>
    <col min="5" max="5" width="12.5703125" style="411" customWidth="1"/>
    <col min="6" max="6" width="10.28515625" style="411" customWidth="1"/>
    <col min="7" max="7" width="11" style="411" customWidth="1"/>
    <col min="8" max="8" width="10.5703125" style="411" customWidth="1"/>
    <col min="9" max="9" width="10.7109375" style="411" customWidth="1"/>
    <col min="10" max="11" width="10" style="411" customWidth="1"/>
    <col min="12" max="12" width="12.140625" style="411" customWidth="1"/>
    <col min="13" max="13" width="9.85546875" style="411" bestFit="1" customWidth="1"/>
    <col min="14" max="256" width="9.140625" style="411"/>
    <col min="257" max="257" width="4.7109375" style="411" customWidth="1"/>
    <col min="258" max="258" width="16.85546875" style="411" customWidth="1"/>
    <col min="259" max="259" width="11.7109375" style="411" customWidth="1"/>
    <col min="260" max="260" width="10" style="411" customWidth="1"/>
    <col min="261" max="261" width="12.5703125" style="411" customWidth="1"/>
    <col min="262" max="262" width="10.28515625" style="411" customWidth="1"/>
    <col min="263" max="263" width="11" style="411" customWidth="1"/>
    <col min="264" max="264" width="10.5703125" style="411" customWidth="1"/>
    <col min="265" max="265" width="10.7109375" style="411" customWidth="1"/>
    <col min="266" max="267" width="10" style="411" customWidth="1"/>
    <col min="268" max="268" width="12.140625" style="411" customWidth="1"/>
    <col min="269" max="512" width="9.140625" style="411"/>
    <col min="513" max="513" width="4.7109375" style="411" customWidth="1"/>
    <col min="514" max="514" width="16.85546875" style="411" customWidth="1"/>
    <col min="515" max="515" width="11.7109375" style="411" customWidth="1"/>
    <col min="516" max="516" width="10" style="411" customWidth="1"/>
    <col min="517" max="517" width="12.5703125" style="411" customWidth="1"/>
    <col min="518" max="518" width="10.28515625" style="411" customWidth="1"/>
    <col min="519" max="519" width="11" style="411" customWidth="1"/>
    <col min="520" max="520" width="10.5703125" style="411" customWidth="1"/>
    <col min="521" max="521" width="10.7109375" style="411" customWidth="1"/>
    <col min="522" max="523" width="10" style="411" customWidth="1"/>
    <col min="524" max="524" width="12.140625" style="411" customWidth="1"/>
    <col min="525" max="768" width="9.140625" style="411"/>
    <col min="769" max="769" width="4.7109375" style="411" customWidth="1"/>
    <col min="770" max="770" width="16.85546875" style="411" customWidth="1"/>
    <col min="771" max="771" width="11.7109375" style="411" customWidth="1"/>
    <col min="772" max="772" width="10" style="411" customWidth="1"/>
    <col min="773" max="773" width="12.5703125" style="411" customWidth="1"/>
    <col min="774" max="774" width="10.28515625" style="411" customWidth="1"/>
    <col min="775" max="775" width="11" style="411" customWidth="1"/>
    <col min="776" max="776" width="10.5703125" style="411" customWidth="1"/>
    <col min="777" max="777" width="10.7109375" style="411" customWidth="1"/>
    <col min="778" max="779" width="10" style="411" customWidth="1"/>
    <col min="780" max="780" width="12.140625" style="411" customWidth="1"/>
    <col min="781" max="1024" width="9.140625" style="411"/>
    <col min="1025" max="1025" width="4.7109375" style="411" customWidth="1"/>
    <col min="1026" max="1026" width="16.85546875" style="411" customWidth="1"/>
    <col min="1027" max="1027" width="11.7109375" style="411" customWidth="1"/>
    <col min="1028" max="1028" width="10" style="411" customWidth="1"/>
    <col min="1029" max="1029" width="12.5703125" style="411" customWidth="1"/>
    <col min="1030" max="1030" width="10.28515625" style="411" customWidth="1"/>
    <col min="1031" max="1031" width="11" style="411" customWidth="1"/>
    <col min="1032" max="1032" width="10.5703125" style="411" customWidth="1"/>
    <col min="1033" max="1033" width="10.7109375" style="411" customWidth="1"/>
    <col min="1034" max="1035" width="10" style="411" customWidth="1"/>
    <col min="1036" max="1036" width="12.140625" style="411" customWidth="1"/>
    <col min="1037" max="1280" width="9.140625" style="411"/>
    <col min="1281" max="1281" width="4.7109375" style="411" customWidth="1"/>
    <col min="1282" max="1282" width="16.85546875" style="411" customWidth="1"/>
    <col min="1283" max="1283" width="11.7109375" style="411" customWidth="1"/>
    <col min="1284" max="1284" width="10" style="411" customWidth="1"/>
    <col min="1285" max="1285" width="12.5703125" style="411" customWidth="1"/>
    <col min="1286" max="1286" width="10.28515625" style="411" customWidth="1"/>
    <col min="1287" max="1287" width="11" style="411" customWidth="1"/>
    <col min="1288" max="1288" width="10.5703125" style="411" customWidth="1"/>
    <col min="1289" max="1289" width="10.7109375" style="411" customWidth="1"/>
    <col min="1290" max="1291" width="10" style="411" customWidth="1"/>
    <col min="1292" max="1292" width="12.140625" style="411" customWidth="1"/>
    <col min="1293" max="1536" width="9.140625" style="411"/>
    <col min="1537" max="1537" width="4.7109375" style="411" customWidth="1"/>
    <col min="1538" max="1538" width="16.85546875" style="411" customWidth="1"/>
    <col min="1539" max="1539" width="11.7109375" style="411" customWidth="1"/>
    <col min="1540" max="1540" width="10" style="411" customWidth="1"/>
    <col min="1541" max="1541" width="12.5703125" style="411" customWidth="1"/>
    <col min="1542" max="1542" width="10.28515625" style="411" customWidth="1"/>
    <col min="1543" max="1543" width="11" style="411" customWidth="1"/>
    <col min="1544" max="1544" width="10.5703125" style="411" customWidth="1"/>
    <col min="1545" max="1545" width="10.7109375" style="411" customWidth="1"/>
    <col min="1546" max="1547" width="10" style="411" customWidth="1"/>
    <col min="1548" max="1548" width="12.140625" style="411" customWidth="1"/>
    <col min="1549" max="1792" width="9.140625" style="411"/>
    <col min="1793" max="1793" width="4.7109375" style="411" customWidth="1"/>
    <col min="1794" max="1794" width="16.85546875" style="411" customWidth="1"/>
    <col min="1795" max="1795" width="11.7109375" style="411" customWidth="1"/>
    <col min="1796" max="1796" width="10" style="411" customWidth="1"/>
    <col min="1797" max="1797" width="12.5703125" style="411" customWidth="1"/>
    <col min="1798" max="1798" width="10.28515625" style="411" customWidth="1"/>
    <col min="1799" max="1799" width="11" style="411" customWidth="1"/>
    <col min="1800" max="1800" width="10.5703125" style="411" customWidth="1"/>
    <col min="1801" max="1801" width="10.7109375" style="411" customWidth="1"/>
    <col min="1802" max="1803" width="10" style="411" customWidth="1"/>
    <col min="1804" max="1804" width="12.140625" style="411" customWidth="1"/>
    <col min="1805" max="2048" width="9.140625" style="411"/>
    <col min="2049" max="2049" width="4.7109375" style="411" customWidth="1"/>
    <col min="2050" max="2050" width="16.85546875" style="411" customWidth="1"/>
    <col min="2051" max="2051" width="11.7109375" style="411" customWidth="1"/>
    <col min="2052" max="2052" width="10" style="411" customWidth="1"/>
    <col min="2053" max="2053" width="12.5703125" style="411" customWidth="1"/>
    <col min="2054" max="2054" width="10.28515625" style="411" customWidth="1"/>
    <col min="2055" max="2055" width="11" style="411" customWidth="1"/>
    <col min="2056" max="2056" width="10.5703125" style="411" customWidth="1"/>
    <col min="2057" max="2057" width="10.7109375" style="411" customWidth="1"/>
    <col min="2058" max="2059" width="10" style="411" customWidth="1"/>
    <col min="2060" max="2060" width="12.140625" style="411" customWidth="1"/>
    <col min="2061" max="2304" width="9.140625" style="411"/>
    <col min="2305" max="2305" width="4.7109375" style="411" customWidth="1"/>
    <col min="2306" max="2306" width="16.85546875" style="411" customWidth="1"/>
    <col min="2307" max="2307" width="11.7109375" style="411" customWidth="1"/>
    <col min="2308" max="2308" width="10" style="411" customWidth="1"/>
    <col min="2309" max="2309" width="12.5703125" style="411" customWidth="1"/>
    <col min="2310" max="2310" width="10.28515625" style="411" customWidth="1"/>
    <col min="2311" max="2311" width="11" style="411" customWidth="1"/>
    <col min="2312" max="2312" width="10.5703125" style="411" customWidth="1"/>
    <col min="2313" max="2313" width="10.7109375" style="411" customWidth="1"/>
    <col min="2314" max="2315" width="10" style="411" customWidth="1"/>
    <col min="2316" max="2316" width="12.140625" style="411" customWidth="1"/>
    <col min="2317" max="2560" width="9.140625" style="411"/>
    <col min="2561" max="2561" width="4.7109375" style="411" customWidth="1"/>
    <col min="2562" max="2562" width="16.85546875" style="411" customWidth="1"/>
    <col min="2563" max="2563" width="11.7109375" style="411" customWidth="1"/>
    <col min="2564" max="2564" width="10" style="411" customWidth="1"/>
    <col min="2565" max="2565" width="12.5703125" style="411" customWidth="1"/>
    <col min="2566" max="2566" width="10.28515625" style="411" customWidth="1"/>
    <col min="2567" max="2567" width="11" style="411" customWidth="1"/>
    <col min="2568" max="2568" width="10.5703125" style="411" customWidth="1"/>
    <col min="2569" max="2569" width="10.7109375" style="411" customWidth="1"/>
    <col min="2570" max="2571" width="10" style="411" customWidth="1"/>
    <col min="2572" max="2572" width="12.140625" style="411" customWidth="1"/>
    <col min="2573" max="2816" width="9.140625" style="411"/>
    <col min="2817" max="2817" width="4.7109375" style="411" customWidth="1"/>
    <col min="2818" max="2818" width="16.85546875" style="411" customWidth="1"/>
    <col min="2819" max="2819" width="11.7109375" style="411" customWidth="1"/>
    <col min="2820" max="2820" width="10" style="411" customWidth="1"/>
    <col min="2821" max="2821" width="12.5703125" style="411" customWidth="1"/>
    <col min="2822" max="2822" width="10.28515625" style="411" customWidth="1"/>
    <col min="2823" max="2823" width="11" style="411" customWidth="1"/>
    <col min="2824" max="2824" width="10.5703125" style="411" customWidth="1"/>
    <col min="2825" max="2825" width="10.7109375" style="411" customWidth="1"/>
    <col min="2826" max="2827" width="10" style="411" customWidth="1"/>
    <col min="2828" max="2828" width="12.140625" style="411" customWidth="1"/>
    <col min="2829" max="3072" width="9.140625" style="411"/>
    <col min="3073" max="3073" width="4.7109375" style="411" customWidth="1"/>
    <col min="3074" max="3074" width="16.85546875" style="411" customWidth="1"/>
    <col min="3075" max="3075" width="11.7109375" style="411" customWidth="1"/>
    <col min="3076" max="3076" width="10" style="411" customWidth="1"/>
    <col min="3077" max="3077" width="12.5703125" style="411" customWidth="1"/>
    <col min="3078" max="3078" width="10.28515625" style="411" customWidth="1"/>
    <col min="3079" max="3079" width="11" style="411" customWidth="1"/>
    <col min="3080" max="3080" width="10.5703125" style="411" customWidth="1"/>
    <col min="3081" max="3081" width="10.7109375" style="411" customWidth="1"/>
    <col min="3082" max="3083" width="10" style="411" customWidth="1"/>
    <col min="3084" max="3084" width="12.140625" style="411" customWidth="1"/>
    <col min="3085" max="3328" width="9.140625" style="411"/>
    <col min="3329" max="3329" width="4.7109375" style="411" customWidth="1"/>
    <col min="3330" max="3330" width="16.85546875" style="411" customWidth="1"/>
    <col min="3331" max="3331" width="11.7109375" style="411" customWidth="1"/>
    <col min="3332" max="3332" width="10" style="411" customWidth="1"/>
    <col min="3333" max="3333" width="12.5703125" style="411" customWidth="1"/>
    <col min="3334" max="3334" width="10.28515625" style="411" customWidth="1"/>
    <col min="3335" max="3335" width="11" style="411" customWidth="1"/>
    <col min="3336" max="3336" width="10.5703125" style="411" customWidth="1"/>
    <col min="3337" max="3337" width="10.7109375" style="411" customWidth="1"/>
    <col min="3338" max="3339" width="10" style="411" customWidth="1"/>
    <col min="3340" max="3340" width="12.140625" style="411" customWidth="1"/>
    <col min="3341" max="3584" width="9.140625" style="411"/>
    <col min="3585" max="3585" width="4.7109375" style="411" customWidth="1"/>
    <col min="3586" max="3586" width="16.85546875" style="411" customWidth="1"/>
    <col min="3587" max="3587" width="11.7109375" style="411" customWidth="1"/>
    <col min="3588" max="3588" width="10" style="411" customWidth="1"/>
    <col min="3589" max="3589" width="12.5703125" style="411" customWidth="1"/>
    <col min="3590" max="3590" width="10.28515625" style="411" customWidth="1"/>
    <col min="3591" max="3591" width="11" style="411" customWidth="1"/>
    <col min="3592" max="3592" width="10.5703125" style="411" customWidth="1"/>
    <col min="3593" max="3593" width="10.7109375" style="411" customWidth="1"/>
    <col min="3594" max="3595" width="10" style="411" customWidth="1"/>
    <col min="3596" max="3596" width="12.140625" style="411" customWidth="1"/>
    <col min="3597" max="3840" width="9.140625" style="411"/>
    <col min="3841" max="3841" width="4.7109375" style="411" customWidth="1"/>
    <col min="3842" max="3842" width="16.85546875" style="411" customWidth="1"/>
    <col min="3843" max="3843" width="11.7109375" style="411" customWidth="1"/>
    <col min="3844" max="3844" width="10" style="411" customWidth="1"/>
    <col min="3845" max="3845" width="12.5703125" style="411" customWidth="1"/>
    <col min="3846" max="3846" width="10.28515625" style="411" customWidth="1"/>
    <col min="3847" max="3847" width="11" style="411" customWidth="1"/>
    <col min="3848" max="3848" width="10.5703125" style="411" customWidth="1"/>
    <col min="3849" max="3849" width="10.7109375" style="411" customWidth="1"/>
    <col min="3850" max="3851" width="10" style="411" customWidth="1"/>
    <col min="3852" max="3852" width="12.140625" style="411" customWidth="1"/>
    <col min="3853" max="4096" width="9.140625" style="411"/>
    <col min="4097" max="4097" width="4.7109375" style="411" customWidth="1"/>
    <col min="4098" max="4098" width="16.85546875" style="411" customWidth="1"/>
    <col min="4099" max="4099" width="11.7109375" style="411" customWidth="1"/>
    <col min="4100" max="4100" width="10" style="411" customWidth="1"/>
    <col min="4101" max="4101" width="12.5703125" style="411" customWidth="1"/>
    <col min="4102" max="4102" width="10.28515625" style="411" customWidth="1"/>
    <col min="4103" max="4103" width="11" style="411" customWidth="1"/>
    <col min="4104" max="4104" width="10.5703125" style="411" customWidth="1"/>
    <col min="4105" max="4105" width="10.7109375" style="411" customWidth="1"/>
    <col min="4106" max="4107" width="10" style="411" customWidth="1"/>
    <col min="4108" max="4108" width="12.140625" style="411" customWidth="1"/>
    <col min="4109" max="4352" width="9.140625" style="411"/>
    <col min="4353" max="4353" width="4.7109375" style="411" customWidth="1"/>
    <col min="4354" max="4354" width="16.85546875" style="411" customWidth="1"/>
    <col min="4355" max="4355" width="11.7109375" style="411" customWidth="1"/>
    <col min="4356" max="4356" width="10" style="411" customWidth="1"/>
    <col min="4357" max="4357" width="12.5703125" style="411" customWidth="1"/>
    <col min="4358" max="4358" width="10.28515625" style="411" customWidth="1"/>
    <col min="4359" max="4359" width="11" style="411" customWidth="1"/>
    <col min="4360" max="4360" width="10.5703125" style="411" customWidth="1"/>
    <col min="4361" max="4361" width="10.7109375" style="411" customWidth="1"/>
    <col min="4362" max="4363" width="10" style="411" customWidth="1"/>
    <col min="4364" max="4364" width="12.140625" style="411" customWidth="1"/>
    <col min="4365" max="4608" width="9.140625" style="411"/>
    <col min="4609" max="4609" width="4.7109375" style="411" customWidth="1"/>
    <col min="4610" max="4610" width="16.85546875" style="411" customWidth="1"/>
    <col min="4611" max="4611" width="11.7109375" style="411" customWidth="1"/>
    <col min="4612" max="4612" width="10" style="411" customWidth="1"/>
    <col min="4613" max="4613" width="12.5703125" style="411" customWidth="1"/>
    <col min="4614" max="4614" width="10.28515625" style="411" customWidth="1"/>
    <col min="4615" max="4615" width="11" style="411" customWidth="1"/>
    <col min="4616" max="4616" width="10.5703125" style="411" customWidth="1"/>
    <col min="4617" max="4617" width="10.7109375" style="411" customWidth="1"/>
    <col min="4618" max="4619" width="10" style="411" customWidth="1"/>
    <col min="4620" max="4620" width="12.140625" style="411" customWidth="1"/>
    <col min="4621" max="4864" width="9.140625" style="411"/>
    <col min="4865" max="4865" width="4.7109375" style="411" customWidth="1"/>
    <col min="4866" max="4866" width="16.85546875" style="411" customWidth="1"/>
    <col min="4867" max="4867" width="11.7109375" style="411" customWidth="1"/>
    <col min="4868" max="4868" width="10" style="411" customWidth="1"/>
    <col min="4869" max="4869" width="12.5703125" style="411" customWidth="1"/>
    <col min="4870" max="4870" width="10.28515625" style="411" customWidth="1"/>
    <col min="4871" max="4871" width="11" style="411" customWidth="1"/>
    <col min="4872" max="4872" width="10.5703125" style="411" customWidth="1"/>
    <col min="4873" max="4873" width="10.7109375" style="411" customWidth="1"/>
    <col min="4874" max="4875" width="10" style="411" customWidth="1"/>
    <col min="4876" max="4876" width="12.140625" style="411" customWidth="1"/>
    <col min="4877" max="5120" width="9.140625" style="411"/>
    <col min="5121" max="5121" width="4.7109375" style="411" customWidth="1"/>
    <col min="5122" max="5122" width="16.85546875" style="411" customWidth="1"/>
    <col min="5123" max="5123" width="11.7109375" style="411" customWidth="1"/>
    <col min="5124" max="5124" width="10" style="411" customWidth="1"/>
    <col min="5125" max="5125" width="12.5703125" style="411" customWidth="1"/>
    <col min="5126" max="5126" width="10.28515625" style="411" customWidth="1"/>
    <col min="5127" max="5127" width="11" style="411" customWidth="1"/>
    <col min="5128" max="5128" width="10.5703125" style="411" customWidth="1"/>
    <col min="5129" max="5129" width="10.7109375" style="411" customWidth="1"/>
    <col min="5130" max="5131" width="10" style="411" customWidth="1"/>
    <col min="5132" max="5132" width="12.140625" style="411" customWidth="1"/>
    <col min="5133" max="5376" width="9.140625" style="411"/>
    <col min="5377" max="5377" width="4.7109375" style="411" customWidth="1"/>
    <col min="5378" max="5378" width="16.85546875" style="411" customWidth="1"/>
    <col min="5379" max="5379" width="11.7109375" style="411" customWidth="1"/>
    <col min="5380" max="5380" width="10" style="411" customWidth="1"/>
    <col min="5381" max="5381" width="12.5703125" style="411" customWidth="1"/>
    <col min="5382" max="5382" width="10.28515625" style="411" customWidth="1"/>
    <col min="5383" max="5383" width="11" style="411" customWidth="1"/>
    <col min="5384" max="5384" width="10.5703125" style="411" customWidth="1"/>
    <col min="5385" max="5385" width="10.7109375" style="411" customWidth="1"/>
    <col min="5386" max="5387" width="10" style="411" customWidth="1"/>
    <col min="5388" max="5388" width="12.140625" style="411" customWidth="1"/>
    <col min="5389" max="5632" width="9.140625" style="411"/>
    <col min="5633" max="5633" width="4.7109375" style="411" customWidth="1"/>
    <col min="5634" max="5634" width="16.85546875" style="411" customWidth="1"/>
    <col min="5635" max="5635" width="11.7109375" style="411" customWidth="1"/>
    <col min="5636" max="5636" width="10" style="411" customWidth="1"/>
    <col min="5637" max="5637" width="12.5703125" style="411" customWidth="1"/>
    <col min="5638" max="5638" width="10.28515625" style="411" customWidth="1"/>
    <col min="5639" max="5639" width="11" style="411" customWidth="1"/>
    <col min="5640" max="5640" width="10.5703125" style="411" customWidth="1"/>
    <col min="5641" max="5641" width="10.7109375" style="411" customWidth="1"/>
    <col min="5642" max="5643" width="10" style="411" customWidth="1"/>
    <col min="5644" max="5644" width="12.140625" style="411" customWidth="1"/>
    <col min="5645" max="5888" width="9.140625" style="411"/>
    <col min="5889" max="5889" width="4.7109375" style="411" customWidth="1"/>
    <col min="5890" max="5890" width="16.85546875" style="411" customWidth="1"/>
    <col min="5891" max="5891" width="11.7109375" style="411" customWidth="1"/>
    <col min="5892" max="5892" width="10" style="411" customWidth="1"/>
    <col min="5893" max="5893" width="12.5703125" style="411" customWidth="1"/>
    <col min="5894" max="5894" width="10.28515625" style="411" customWidth="1"/>
    <col min="5895" max="5895" width="11" style="411" customWidth="1"/>
    <col min="5896" max="5896" width="10.5703125" style="411" customWidth="1"/>
    <col min="5897" max="5897" width="10.7109375" style="411" customWidth="1"/>
    <col min="5898" max="5899" width="10" style="411" customWidth="1"/>
    <col min="5900" max="5900" width="12.140625" style="411" customWidth="1"/>
    <col min="5901" max="6144" width="9.140625" style="411"/>
    <col min="6145" max="6145" width="4.7109375" style="411" customWidth="1"/>
    <col min="6146" max="6146" width="16.85546875" style="411" customWidth="1"/>
    <col min="6147" max="6147" width="11.7109375" style="411" customWidth="1"/>
    <col min="6148" max="6148" width="10" style="411" customWidth="1"/>
    <col min="6149" max="6149" width="12.5703125" style="411" customWidth="1"/>
    <col min="6150" max="6150" width="10.28515625" style="411" customWidth="1"/>
    <col min="6151" max="6151" width="11" style="411" customWidth="1"/>
    <col min="6152" max="6152" width="10.5703125" style="411" customWidth="1"/>
    <col min="6153" max="6153" width="10.7109375" style="411" customWidth="1"/>
    <col min="6154" max="6155" width="10" style="411" customWidth="1"/>
    <col min="6156" max="6156" width="12.140625" style="411" customWidth="1"/>
    <col min="6157" max="6400" width="9.140625" style="411"/>
    <col min="6401" max="6401" width="4.7109375" style="411" customWidth="1"/>
    <col min="6402" max="6402" width="16.85546875" style="411" customWidth="1"/>
    <col min="6403" max="6403" width="11.7109375" style="411" customWidth="1"/>
    <col min="6404" max="6404" width="10" style="411" customWidth="1"/>
    <col min="6405" max="6405" width="12.5703125" style="411" customWidth="1"/>
    <col min="6406" max="6406" width="10.28515625" style="411" customWidth="1"/>
    <col min="6407" max="6407" width="11" style="411" customWidth="1"/>
    <col min="6408" max="6408" width="10.5703125" style="411" customWidth="1"/>
    <col min="6409" max="6409" width="10.7109375" style="411" customWidth="1"/>
    <col min="6410" max="6411" width="10" style="411" customWidth="1"/>
    <col min="6412" max="6412" width="12.140625" style="411" customWidth="1"/>
    <col min="6413" max="6656" width="9.140625" style="411"/>
    <col min="6657" max="6657" width="4.7109375" style="411" customWidth="1"/>
    <col min="6658" max="6658" width="16.85546875" style="411" customWidth="1"/>
    <col min="6659" max="6659" width="11.7109375" style="411" customWidth="1"/>
    <col min="6660" max="6660" width="10" style="411" customWidth="1"/>
    <col min="6661" max="6661" width="12.5703125" style="411" customWidth="1"/>
    <col min="6662" max="6662" width="10.28515625" style="411" customWidth="1"/>
    <col min="6663" max="6663" width="11" style="411" customWidth="1"/>
    <col min="6664" max="6664" width="10.5703125" style="411" customWidth="1"/>
    <col min="6665" max="6665" width="10.7109375" style="411" customWidth="1"/>
    <col min="6666" max="6667" width="10" style="411" customWidth="1"/>
    <col min="6668" max="6668" width="12.140625" style="411" customWidth="1"/>
    <col min="6669" max="6912" width="9.140625" style="411"/>
    <col min="6913" max="6913" width="4.7109375" style="411" customWidth="1"/>
    <col min="6914" max="6914" width="16.85546875" style="411" customWidth="1"/>
    <col min="6915" max="6915" width="11.7109375" style="411" customWidth="1"/>
    <col min="6916" max="6916" width="10" style="411" customWidth="1"/>
    <col min="6917" max="6917" width="12.5703125" style="411" customWidth="1"/>
    <col min="6918" max="6918" width="10.28515625" style="411" customWidth="1"/>
    <col min="6919" max="6919" width="11" style="411" customWidth="1"/>
    <col min="6920" max="6920" width="10.5703125" style="411" customWidth="1"/>
    <col min="6921" max="6921" width="10.7109375" style="411" customWidth="1"/>
    <col min="6922" max="6923" width="10" style="411" customWidth="1"/>
    <col min="6924" max="6924" width="12.140625" style="411" customWidth="1"/>
    <col min="6925" max="7168" width="9.140625" style="411"/>
    <col min="7169" max="7169" width="4.7109375" style="411" customWidth="1"/>
    <col min="7170" max="7170" width="16.85546875" style="411" customWidth="1"/>
    <col min="7171" max="7171" width="11.7109375" style="411" customWidth="1"/>
    <col min="7172" max="7172" width="10" style="411" customWidth="1"/>
    <col min="7173" max="7173" width="12.5703125" style="411" customWidth="1"/>
    <col min="7174" max="7174" width="10.28515625" style="411" customWidth="1"/>
    <col min="7175" max="7175" width="11" style="411" customWidth="1"/>
    <col min="7176" max="7176" width="10.5703125" style="411" customWidth="1"/>
    <col min="7177" max="7177" width="10.7109375" style="411" customWidth="1"/>
    <col min="7178" max="7179" width="10" style="411" customWidth="1"/>
    <col min="7180" max="7180" width="12.140625" style="411" customWidth="1"/>
    <col min="7181" max="7424" width="9.140625" style="411"/>
    <col min="7425" max="7425" width="4.7109375" style="411" customWidth="1"/>
    <col min="7426" max="7426" width="16.85546875" style="411" customWidth="1"/>
    <col min="7427" max="7427" width="11.7109375" style="411" customWidth="1"/>
    <col min="7428" max="7428" width="10" style="411" customWidth="1"/>
    <col min="7429" max="7429" width="12.5703125" style="411" customWidth="1"/>
    <col min="7430" max="7430" width="10.28515625" style="411" customWidth="1"/>
    <col min="7431" max="7431" width="11" style="411" customWidth="1"/>
    <col min="7432" max="7432" width="10.5703125" style="411" customWidth="1"/>
    <col min="7433" max="7433" width="10.7109375" style="411" customWidth="1"/>
    <col min="7434" max="7435" width="10" style="411" customWidth="1"/>
    <col min="7436" max="7436" width="12.140625" style="411" customWidth="1"/>
    <col min="7437" max="7680" width="9.140625" style="411"/>
    <col min="7681" max="7681" width="4.7109375" style="411" customWidth="1"/>
    <col min="7682" max="7682" width="16.85546875" style="411" customWidth="1"/>
    <col min="7683" max="7683" width="11.7109375" style="411" customWidth="1"/>
    <col min="7684" max="7684" width="10" style="411" customWidth="1"/>
    <col min="7685" max="7685" width="12.5703125" style="411" customWidth="1"/>
    <col min="7686" max="7686" width="10.28515625" style="411" customWidth="1"/>
    <col min="7687" max="7687" width="11" style="411" customWidth="1"/>
    <col min="7688" max="7688" width="10.5703125" style="411" customWidth="1"/>
    <col min="7689" max="7689" width="10.7109375" style="411" customWidth="1"/>
    <col min="7690" max="7691" width="10" style="411" customWidth="1"/>
    <col min="7692" max="7692" width="12.140625" style="411" customWidth="1"/>
    <col min="7693" max="7936" width="9.140625" style="411"/>
    <col min="7937" max="7937" width="4.7109375" style="411" customWidth="1"/>
    <col min="7938" max="7938" width="16.85546875" style="411" customWidth="1"/>
    <col min="7939" max="7939" width="11.7109375" style="411" customWidth="1"/>
    <col min="7940" max="7940" width="10" style="411" customWidth="1"/>
    <col min="7941" max="7941" width="12.5703125" style="411" customWidth="1"/>
    <col min="7942" max="7942" width="10.28515625" style="411" customWidth="1"/>
    <col min="7943" max="7943" width="11" style="411" customWidth="1"/>
    <col min="7944" max="7944" width="10.5703125" style="411" customWidth="1"/>
    <col min="7945" max="7945" width="10.7109375" style="411" customWidth="1"/>
    <col min="7946" max="7947" width="10" style="411" customWidth="1"/>
    <col min="7948" max="7948" width="12.140625" style="411" customWidth="1"/>
    <col min="7949" max="8192" width="9.140625" style="411"/>
    <col min="8193" max="8193" width="4.7109375" style="411" customWidth="1"/>
    <col min="8194" max="8194" width="16.85546875" style="411" customWidth="1"/>
    <col min="8195" max="8195" width="11.7109375" style="411" customWidth="1"/>
    <col min="8196" max="8196" width="10" style="411" customWidth="1"/>
    <col min="8197" max="8197" width="12.5703125" style="411" customWidth="1"/>
    <col min="8198" max="8198" width="10.28515625" style="411" customWidth="1"/>
    <col min="8199" max="8199" width="11" style="411" customWidth="1"/>
    <col min="8200" max="8200" width="10.5703125" style="411" customWidth="1"/>
    <col min="8201" max="8201" width="10.7109375" style="411" customWidth="1"/>
    <col min="8202" max="8203" width="10" style="411" customWidth="1"/>
    <col min="8204" max="8204" width="12.140625" style="411" customWidth="1"/>
    <col min="8205" max="8448" width="9.140625" style="411"/>
    <col min="8449" max="8449" width="4.7109375" style="411" customWidth="1"/>
    <col min="8450" max="8450" width="16.85546875" style="411" customWidth="1"/>
    <col min="8451" max="8451" width="11.7109375" style="411" customWidth="1"/>
    <col min="8452" max="8452" width="10" style="411" customWidth="1"/>
    <col min="8453" max="8453" width="12.5703125" style="411" customWidth="1"/>
    <col min="8454" max="8454" width="10.28515625" style="411" customWidth="1"/>
    <col min="8455" max="8455" width="11" style="411" customWidth="1"/>
    <col min="8456" max="8456" width="10.5703125" style="411" customWidth="1"/>
    <col min="8457" max="8457" width="10.7109375" style="411" customWidth="1"/>
    <col min="8458" max="8459" width="10" style="411" customWidth="1"/>
    <col min="8460" max="8460" width="12.140625" style="411" customWidth="1"/>
    <col min="8461" max="8704" width="9.140625" style="411"/>
    <col min="8705" max="8705" width="4.7109375" style="411" customWidth="1"/>
    <col min="8706" max="8706" width="16.85546875" style="411" customWidth="1"/>
    <col min="8707" max="8707" width="11.7109375" style="411" customWidth="1"/>
    <col min="8708" max="8708" width="10" style="411" customWidth="1"/>
    <col min="8709" max="8709" width="12.5703125" style="411" customWidth="1"/>
    <col min="8710" max="8710" width="10.28515625" style="411" customWidth="1"/>
    <col min="8711" max="8711" width="11" style="411" customWidth="1"/>
    <col min="8712" max="8712" width="10.5703125" style="411" customWidth="1"/>
    <col min="8713" max="8713" width="10.7109375" style="411" customWidth="1"/>
    <col min="8714" max="8715" width="10" style="411" customWidth="1"/>
    <col min="8716" max="8716" width="12.140625" style="411" customWidth="1"/>
    <col min="8717" max="8960" width="9.140625" style="411"/>
    <col min="8961" max="8961" width="4.7109375" style="411" customWidth="1"/>
    <col min="8962" max="8962" width="16.85546875" style="411" customWidth="1"/>
    <col min="8963" max="8963" width="11.7109375" style="411" customWidth="1"/>
    <col min="8964" max="8964" width="10" style="411" customWidth="1"/>
    <col min="8965" max="8965" width="12.5703125" style="411" customWidth="1"/>
    <col min="8966" max="8966" width="10.28515625" style="411" customWidth="1"/>
    <col min="8967" max="8967" width="11" style="411" customWidth="1"/>
    <col min="8968" max="8968" width="10.5703125" style="411" customWidth="1"/>
    <col min="8969" max="8969" width="10.7109375" style="411" customWidth="1"/>
    <col min="8970" max="8971" width="10" style="411" customWidth="1"/>
    <col min="8972" max="8972" width="12.140625" style="411" customWidth="1"/>
    <col min="8973" max="9216" width="9.140625" style="411"/>
    <col min="9217" max="9217" width="4.7109375" style="411" customWidth="1"/>
    <col min="9218" max="9218" width="16.85546875" style="411" customWidth="1"/>
    <col min="9219" max="9219" width="11.7109375" style="411" customWidth="1"/>
    <col min="9220" max="9220" width="10" style="411" customWidth="1"/>
    <col min="9221" max="9221" width="12.5703125" style="411" customWidth="1"/>
    <col min="9222" max="9222" width="10.28515625" style="411" customWidth="1"/>
    <col min="9223" max="9223" width="11" style="411" customWidth="1"/>
    <col min="9224" max="9224" width="10.5703125" style="411" customWidth="1"/>
    <col min="9225" max="9225" width="10.7109375" style="411" customWidth="1"/>
    <col min="9226" max="9227" width="10" style="411" customWidth="1"/>
    <col min="9228" max="9228" width="12.140625" style="411" customWidth="1"/>
    <col min="9229" max="9472" width="9.140625" style="411"/>
    <col min="9473" max="9473" width="4.7109375" style="411" customWidth="1"/>
    <col min="9474" max="9474" width="16.85546875" style="411" customWidth="1"/>
    <col min="9475" max="9475" width="11.7109375" style="411" customWidth="1"/>
    <col min="9476" max="9476" width="10" style="411" customWidth="1"/>
    <col min="9477" max="9477" width="12.5703125" style="411" customWidth="1"/>
    <col min="9478" max="9478" width="10.28515625" style="411" customWidth="1"/>
    <col min="9479" max="9479" width="11" style="411" customWidth="1"/>
    <col min="9480" max="9480" width="10.5703125" style="411" customWidth="1"/>
    <col min="9481" max="9481" width="10.7109375" style="411" customWidth="1"/>
    <col min="9482" max="9483" width="10" style="411" customWidth="1"/>
    <col min="9484" max="9484" width="12.140625" style="411" customWidth="1"/>
    <col min="9485" max="9728" width="9.140625" style="411"/>
    <col min="9729" max="9729" width="4.7109375" style="411" customWidth="1"/>
    <col min="9730" max="9730" width="16.85546875" style="411" customWidth="1"/>
    <col min="9731" max="9731" width="11.7109375" style="411" customWidth="1"/>
    <col min="9732" max="9732" width="10" style="411" customWidth="1"/>
    <col min="9733" max="9733" width="12.5703125" style="411" customWidth="1"/>
    <col min="9734" max="9734" width="10.28515625" style="411" customWidth="1"/>
    <col min="9735" max="9735" width="11" style="411" customWidth="1"/>
    <col min="9736" max="9736" width="10.5703125" style="411" customWidth="1"/>
    <col min="9737" max="9737" width="10.7109375" style="411" customWidth="1"/>
    <col min="9738" max="9739" width="10" style="411" customWidth="1"/>
    <col min="9740" max="9740" width="12.140625" style="411" customWidth="1"/>
    <col min="9741" max="9984" width="9.140625" style="411"/>
    <col min="9985" max="9985" width="4.7109375" style="411" customWidth="1"/>
    <col min="9986" max="9986" width="16.85546875" style="411" customWidth="1"/>
    <col min="9987" max="9987" width="11.7109375" style="411" customWidth="1"/>
    <col min="9988" max="9988" width="10" style="411" customWidth="1"/>
    <col min="9989" max="9989" width="12.5703125" style="411" customWidth="1"/>
    <col min="9990" max="9990" width="10.28515625" style="411" customWidth="1"/>
    <col min="9991" max="9991" width="11" style="411" customWidth="1"/>
    <col min="9992" max="9992" width="10.5703125" style="411" customWidth="1"/>
    <col min="9993" max="9993" width="10.7109375" style="411" customWidth="1"/>
    <col min="9994" max="9995" width="10" style="411" customWidth="1"/>
    <col min="9996" max="9996" width="12.140625" style="411" customWidth="1"/>
    <col min="9997" max="10240" width="9.140625" style="411"/>
    <col min="10241" max="10241" width="4.7109375" style="411" customWidth="1"/>
    <col min="10242" max="10242" width="16.85546875" style="411" customWidth="1"/>
    <col min="10243" max="10243" width="11.7109375" style="411" customWidth="1"/>
    <col min="10244" max="10244" width="10" style="411" customWidth="1"/>
    <col min="10245" max="10245" width="12.5703125" style="411" customWidth="1"/>
    <col min="10246" max="10246" width="10.28515625" style="411" customWidth="1"/>
    <col min="10247" max="10247" width="11" style="411" customWidth="1"/>
    <col min="10248" max="10248" width="10.5703125" style="411" customWidth="1"/>
    <col min="10249" max="10249" width="10.7109375" style="411" customWidth="1"/>
    <col min="10250" max="10251" width="10" style="411" customWidth="1"/>
    <col min="10252" max="10252" width="12.140625" style="411" customWidth="1"/>
    <col min="10253" max="10496" width="9.140625" style="411"/>
    <col min="10497" max="10497" width="4.7109375" style="411" customWidth="1"/>
    <col min="10498" max="10498" width="16.85546875" style="411" customWidth="1"/>
    <col min="10499" max="10499" width="11.7109375" style="411" customWidth="1"/>
    <col min="10500" max="10500" width="10" style="411" customWidth="1"/>
    <col min="10501" max="10501" width="12.5703125" style="411" customWidth="1"/>
    <col min="10502" max="10502" width="10.28515625" style="411" customWidth="1"/>
    <col min="10503" max="10503" width="11" style="411" customWidth="1"/>
    <col min="10504" max="10504" width="10.5703125" style="411" customWidth="1"/>
    <col min="10505" max="10505" width="10.7109375" style="411" customWidth="1"/>
    <col min="10506" max="10507" width="10" style="411" customWidth="1"/>
    <col min="10508" max="10508" width="12.140625" style="411" customWidth="1"/>
    <col min="10509" max="10752" width="9.140625" style="411"/>
    <col min="10753" max="10753" width="4.7109375" style="411" customWidth="1"/>
    <col min="10754" max="10754" width="16.85546875" style="411" customWidth="1"/>
    <col min="10755" max="10755" width="11.7109375" style="411" customWidth="1"/>
    <col min="10756" max="10756" width="10" style="411" customWidth="1"/>
    <col min="10757" max="10757" width="12.5703125" style="411" customWidth="1"/>
    <col min="10758" max="10758" width="10.28515625" style="411" customWidth="1"/>
    <col min="10759" max="10759" width="11" style="411" customWidth="1"/>
    <col min="10760" max="10760" width="10.5703125" style="411" customWidth="1"/>
    <col min="10761" max="10761" width="10.7109375" style="411" customWidth="1"/>
    <col min="10762" max="10763" width="10" style="411" customWidth="1"/>
    <col min="10764" max="10764" width="12.140625" style="411" customWidth="1"/>
    <col min="10765" max="11008" width="9.140625" style="411"/>
    <col min="11009" max="11009" width="4.7109375" style="411" customWidth="1"/>
    <col min="11010" max="11010" width="16.85546875" style="411" customWidth="1"/>
    <col min="11011" max="11011" width="11.7109375" style="411" customWidth="1"/>
    <col min="11012" max="11012" width="10" style="411" customWidth="1"/>
    <col min="11013" max="11013" width="12.5703125" style="411" customWidth="1"/>
    <col min="11014" max="11014" width="10.28515625" style="411" customWidth="1"/>
    <col min="11015" max="11015" width="11" style="411" customWidth="1"/>
    <col min="11016" max="11016" width="10.5703125" style="411" customWidth="1"/>
    <col min="11017" max="11017" width="10.7109375" style="411" customWidth="1"/>
    <col min="11018" max="11019" width="10" style="411" customWidth="1"/>
    <col min="11020" max="11020" width="12.140625" style="411" customWidth="1"/>
    <col min="11021" max="11264" width="9.140625" style="411"/>
    <col min="11265" max="11265" width="4.7109375" style="411" customWidth="1"/>
    <col min="11266" max="11266" width="16.85546875" style="411" customWidth="1"/>
    <col min="11267" max="11267" width="11.7109375" style="411" customWidth="1"/>
    <col min="11268" max="11268" width="10" style="411" customWidth="1"/>
    <col min="11269" max="11269" width="12.5703125" style="411" customWidth="1"/>
    <col min="11270" max="11270" width="10.28515625" style="411" customWidth="1"/>
    <col min="11271" max="11271" width="11" style="411" customWidth="1"/>
    <col min="11272" max="11272" width="10.5703125" style="411" customWidth="1"/>
    <col min="11273" max="11273" width="10.7109375" style="411" customWidth="1"/>
    <col min="11274" max="11275" width="10" style="411" customWidth="1"/>
    <col min="11276" max="11276" width="12.140625" style="411" customWidth="1"/>
    <col min="11277" max="11520" width="9.140625" style="411"/>
    <col min="11521" max="11521" width="4.7109375" style="411" customWidth="1"/>
    <col min="11522" max="11522" width="16.85546875" style="411" customWidth="1"/>
    <col min="11523" max="11523" width="11.7109375" style="411" customWidth="1"/>
    <col min="11524" max="11524" width="10" style="411" customWidth="1"/>
    <col min="11525" max="11525" width="12.5703125" style="411" customWidth="1"/>
    <col min="11526" max="11526" width="10.28515625" style="411" customWidth="1"/>
    <col min="11527" max="11527" width="11" style="411" customWidth="1"/>
    <col min="11528" max="11528" width="10.5703125" style="411" customWidth="1"/>
    <col min="11529" max="11529" width="10.7109375" style="411" customWidth="1"/>
    <col min="11530" max="11531" width="10" style="411" customWidth="1"/>
    <col min="11532" max="11532" width="12.140625" style="411" customWidth="1"/>
    <col min="11533" max="11776" width="9.140625" style="411"/>
    <col min="11777" max="11777" width="4.7109375" style="411" customWidth="1"/>
    <col min="11778" max="11778" width="16.85546875" style="411" customWidth="1"/>
    <col min="11779" max="11779" width="11.7109375" style="411" customWidth="1"/>
    <col min="11780" max="11780" width="10" style="411" customWidth="1"/>
    <col min="11781" max="11781" width="12.5703125" style="411" customWidth="1"/>
    <col min="11782" max="11782" width="10.28515625" style="411" customWidth="1"/>
    <col min="11783" max="11783" width="11" style="411" customWidth="1"/>
    <col min="11784" max="11784" width="10.5703125" style="411" customWidth="1"/>
    <col min="11785" max="11785" width="10.7109375" style="411" customWidth="1"/>
    <col min="11786" max="11787" width="10" style="411" customWidth="1"/>
    <col min="11788" max="11788" width="12.140625" style="411" customWidth="1"/>
    <col min="11789" max="12032" width="9.140625" style="411"/>
    <col min="12033" max="12033" width="4.7109375" style="411" customWidth="1"/>
    <col min="12034" max="12034" width="16.85546875" style="411" customWidth="1"/>
    <col min="12035" max="12035" width="11.7109375" style="411" customWidth="1"/>
    <col min="12036" max="12036" width="10" style="411" customWidth="1"/>
    <col min="12037" max="12037" width="12.5703125" style="411" customWidth="1"/>
    <col min="12038" max="12038" width="10.28515625" style="411" customWidth="1"/>
    <col min="12039" max="12039" width="11" style="411" customWidth="1"/>
    <col min="12040" max="12040" width="10.5703125" style="411" customWidth="1"/>
    <col min="12041" max="12041" width="10.7109375" style="411" customWidth="1"/>
    <col min="12042" max="12043" width="10" style="411" customWidth="1"/>
    <col min="12044" max="12044" width="12.140625" style="411" customWidth="1"/>
    <col min="12045" max="12288" width="9.140625" style="411"/>
    <col min="12289" max="12289" width="4.7109375" style="411" customWidth="1"/>
    <col min="12290" max="12290" width="16.85546875" style="411" customWidth="1"/>
    <col min="12291" max="12291" width="11.7109375" style="411" customWidth="1"/>
    <col min="12292" max="12292" width="10" style="411" customWidth="1"/>
    <col min="12293" max="12293" width="12.5703125" style="411" customWidth="1"/>
    <col min="12294" max="12294" width="10.28515625" style="411" customWidth="1"/>
    <col min="12295" max="12295" width="11" style="411" customWidth="1"/>
    <col min="12296" max="12296" width="10.5703125" style="411" customWidth="1"/>
    <col min="12297" max="12297" width="10.7109375" style="411" customWidth="1"/>
    <col min="12298" max="12299" width="10" style="411" customWidth="1"/>
    <col min="12300" max="12300" width="12.140625" style="411" customWidth="1"/>
    <col min="12301" max="12544" width="9.140625" style="411"/>
    <col min="12545" max="12545" width="4.7109375" style="411" customWidth="1"/>
    <col min="12546" max="12546" width="16.85546875" style="411" customWidth="1"/>
    <col min="12547" max="12547" width="11.7109375" style="411" customWidth="1"/>
    <col min="12548" max="12548" width="10" style="411" customWidth="1"/>
    <col min="12549" max="12549" width="12.5703125" style="411" customWidth="1"/>
    <col min="12550" max="12550" width="10.28515625" style="411" customWidth="1"/>
    <col min="12551" max="12551" width="11" style="411" customWidth="1"/>
    <col min="12552" max="12552" width="10.5703125" style="411" customWidth="1"/>
    <col min="12553" max="12553" width="10.7109375" style="411" customWidth="1"/>
    <col min="12554" max="12555" width="10" style="411" customWidth="1"/>
    <col min="12556" max="12556" width="12.140625" style="411" customWidth="1"/>
    <col min="12557" max="12800" width="9.140625" style="411"/>
    <col min="12801" max="12801" width="4.7109375" style="411" customWidth="1"/>
    <col min="12802" max="12802" width="16.85546875" style="411" customWidth="1"/>
    <col min="12803" max="12803" width="11.7109375" style="411" customWidth="1"/>
    <col min="12804" max="12804" width="10" style="411" customWidth="1"/>
    <col min="12805" max="12805" width="12.5703125" style="411" customWidth="1"/>
    <col min="12806" max="12806" width="10.28515625" style="411" customWidth="1"/>
    <col min="12807" max="12807" width="11" style="411" customWidth="1"/>
    <col min="12808" max="12808" width="10.5703125" style="411" customWidth="1"/>
    <col min="12809" max="12809" width="10.7109375" style="411" customWidth="1"/>
    <col min="12810" max="12811" width="10" style="411" customWidth="1"/>
    <col min="12812" max="12812" width="12.140625" style="411" customWidth="1"/>
    <col min="12813" max="13056" width="9.140625" style="411"/>
    <col min="13057" max="13057" width="4.7109375" style="411" customWidth="1"/>
    <col min="13058" max="13058" width="16.85546875" style="411" customWidth="1"/>
    <col min="13059" max="13059" width="11.7109375" style="411" customWidth="1"/>
    <col min="13060" max="13060" width="10" style="411" customWidth="1"/>
    <col min="13061" max="13061" width="12.5703125" style="411" customWidth="1"/>
    <col min="13062" max="13062" width="10.28515625" style="411" customWidth="1"/>
    <col min="13063" max="13063" width="11" style="411" customWidth="1"/>
    <col min="13064" max="13064" width="10.5703125" style="411" customWidth="1"/>
    <col min="13065" max="13065" width="10.7109375" style="411" customWidth="1"/>
    <col min="13066" max="13067" width="10" style="411" customWidth="1"/>
    <col min="13068" max="13068" width="12.140625" style="411" customWidth="1"/>
    <col min="13069" max="13312" width="9.140625" style="411"/>
    <col min="13313" max="13313" width="4.7109375" style="411" customWidth="1"/>
    <col min="13314" max="13314" width="16.85546875" style="411" customWidth="1"/>
    <col min="13315" max="13315" width="11.7109375" style="411" customWidth="1"/>
    <col min="13316" max="13316" width="10" style="411" customWidth="1"/>
    <col min="13317" max="13317" width="12.5703125" style="411" customWidth="1"/>
    <col min="13318" max="13318" width="10.28515625" style="411" customWidth="1"/>
    <col min="13319" max="13319" width="11" style="411" customWidth="1"/>
    <col min="13320" max="13320" width="10.5703125" style="411" customWidth="1"/>
    <col min="13321" max="13321" width="10.7109375" style="411" customWidth="1"/>
    <col min="13322" max="13323" width="10" style="411" customWidth="1"/>
    <col min="13324" max="13324" width="12.140625" style="411" customWidth="1"/>
    <col min="13325" max="13568" width="9.140625" style="411"/>
    <col min="13569" max="13569" width="4.7109375" style="411" customWidth="1"/>
    <col min="13570" max="13570" width="16.85546875" style="411" customWidth="1"/>
    <col min="13571" max="13571" width="11.7109375" style="411" customWidth="1"/>
    <col min="13572" max="13572" width="10" style="411" customWidth="1"/>
    <col min="13573" max="13573" width="12.5703125" style="411" customWidth="1"/>
    <col min="13574" max="13574" width="10.28515625" style="411" customWidth="1"/>
    <col min="13575" max="13575" width="11" style="411" customWidth="1"/>
    <col min="13576" max="13576" width="10.5703125" style="411" customWidth="1"/>
    <col min="13577" max="13577" width="10.7109375" style="411" customWidth="1"/>
    <col min="13578" max="13579" width="10" style="411" customWidth="1"/>
    <col min="13580" max="13580" width="12.140625" style="411" customWidth="1"/>
    <col min="13581" max="13824" width="9.140625" style="411"/>
    <col min="13825" max="13825" width="4.7109375" style="411" customWidth="1"/>
    <col min="13826" max="13826" width="16.85546875" style="411" customWidth="1"/>
    <col min="13827" max="13827" width="11.7109375" style="411" customWidth="1"/>
    <col min="13828" max="13828" width="10" style="411" customWidth="1"/>
    <col min="13829" max="13829" width="12.5703125" style="411" customWidth="1"/>
    <col min="13830" max="13830" width="10.28515625" style="411" customWidth="1"/>
    <col min="13831" max="13831" width="11" style="411" customWidth="1"/>
    <col min="13832" max="13832" width="10.5703125" style="411" customWidth="1"/>
    <col min="13833" max="13833" width="10.7109375" style="411" customWidth="1"/>
    <col min="13834" max="13835" width="10" style="411" customWidth="1"/>
    <col min="13836" max="13836" width="12.140625" style="411" customWidth="1"/>
    <col min="13837" max="14080" width="9.140625" style="411"/>
    <col min="14081" max="14081" width="4.7109375" style="411" customWidth="1"/>
    <col min="14082" max="14082" width="16.85546875" style="411" customWidth="1"/>
    <col min="14083" max="14083" width="11.7109375" style="411" customWidth="1"/>
    <col min="14084" max="14084" width="10" style="411" customWidth="1"/>
    <col min="14085" max="14085" width="12.5703125" style="411" customWidth="1"/>
    <col min="14086" max="14086" width="10.28515625" style="411" customWidth="1"/>
    <col min="14087" max="14087" width="11" style="411" customWidth="1"/>
    <col min="14088" max="14088" width="10.5703125" style="411" customWidth="1"/>
    <col min="14089" max="14089" width="10.7109375" style="411" customWidth="1"/>
    <col min="14090" max="14091" width="10" style="411" customWidth="1"/>
    <col min="14092" max="14092" width="12.140625" style="411" customWidth="1"/>
    <col min="14093" max="14336" width="9.140625" style="411"/>
    <col min="14337" max="14337" width="4.7109375" style="411" customWidth="1"/>
    <col min="14338" max="14338" width="16.85546875" style="411" customWidth="1"/>
    <col min="14339" max="14339" width="11.7109375" style="411" customWidth="1"/>
    <col min="14340" max="14340" width="10" style="411" customWidth="1"/>
    <col min="14341" max="14341" width="12.5703125" style="411" customWidth="1"/>
    <col min="14342" max="14342" width="10.28515625" style="411" customWidth="1"/>
    <col min="14343" max="14343" width="11" style="411" customWidth="1"/>
    <col min="14344" max="14344" width="10.5703125" style="411" customWidth="1"/>
    <col min="14345" max="14345" width="10.7109375" style="411" customWidth="1"/>
    <col min="14346" max="14347" width="10" style="411" customWidth="1"/>
    <col min="14348" max="14348" width="12.140625" style="411" customWidth="1"/>
    <col min="14349" max="14592" width="9.140625" style="411"/>
    <col min="14593" max="14593" width="4.7109375" style="411" customWidth="1"/>
    <col min="14594" max="14594" width="16.85546875" style="411" customWidth="1"/>
    <col min="14595" max="14595" width="11.7109375" style="411" customWidth="1"/>
    <col min="14596" max="14596" width="10" style="411" customWidth="1"/>
    <col min="14597" max="14597" width="12.5703125" style="411" customWidth="1"/>
    <col min="14598" max="14598" width="10.28515625" style="411" customWidth="1"/>
    <col min="14599" max="14599" width="11" style="411" customWidth="1"/>
    <col min="14600" max="14600" width="10.5703125" style="411" customWidth="1"/>
    <col min="14601" max="14601" width="10.7109375" style="411" customWidth="1"/>
    <col min="14602" max="14603" width="10" style="411" customWidth="1"/>
    <col min="14604" max="14604" width="12.140625" style="411" customWidth="1"/>
    <col min="14605" max="14848" width="9.140625" style="411"/>
    <col min="14849" max="14849" width="4.7109375" style="411" customWidth="1"/>
    <col min="14850" max="14850" width="16.85546875" style="411" customWidth="1"/>
    <col min="14851" max="14851" width="11.7109375" style="411" customWidth="1"/>
    <col min="14852" max="14852" width="10" style="411" customWidth="1"/>
    <col min="14853" max="14853" width="12.5703125" style="411" customWidth="1"/>
    <col min="14854" max="14854" width="10.28515625" style="411" customWidth="1"/>
    <col min="14855" max="14855" width="11" style="411" customWidth="1"/>
    <col min="14856" max="14856" width="10.5703125" style="411" customWidth="1"/>
    <col min="14857" max="14857" width="10.7109375" style="411" customWidth="1"/>
    <col min="14858" max="14859" width="10" style="411" customWidth="1"/>
    <col min="14860" max="14860" width="12.140625" style="411" customWidth="1"/>
    <col min="14861" max="15104" width="9.140625" style="411"/>
    <col min="15105" max="15105" width="4.7109375" style="411" customWidth="1"/>
    <col min="15106" max="15106" width="16.85546875" style="411" customWidth="1"/>
    <col min="15107" max="15107" width="11.7109375" style="411" customWidth="1"/>
    <col min="15108" max="15108" width="10" style="411" customWidth="1"/>
    <col min="15109" max="15109" width="12.5703125" style="411" customWidth="1"/>
    <col min="15110" max="15110" width="10.28515625" style="411" customWidth="1"/>
    <col min="15111" max="15111" width="11" style="411" customWidth="1"/>
    <col min="15112" max="15112" width="10.5703125" style="411" customWidth="1"/>
    <col min="15113" max="15113" width="10.7109375" style="411" customWidth="1"/>
    <col min="15114" max="15115" width="10" style="411" customWidth="1"/>
    <col min="15116" max="15116" width="12.140625" style="411" customWidth="1"/>
    <col min="15117" max="15360" width="9.140625" style="411"/>
    <col min="15361" max="15361" width="4.7109375" style="411" customWidth="1"/>
    <col min="15362" max="15362" width="16.85546875" style="411" customWidth="1"/>
    <col min="15363" max="15363" width="11.7109375" style="411" customWidth="1"/>
    <col min="15364" max="15364" width="10" style="411" customWidth="1"/>
    <col min="15365" max="15365" width="12.5703125" style="411" customWidth="1"/>
    <col min="15366" max="15366" width="10.28515625" style="411" customWidth="1"/>
    <col min="15367" max="15367" width="11" style="411" customWidth="1"/>
    <col min="15368" max="15368" width="10.5703125" style="411" customWidth="1"/>
    <col min="15369" max="15369" width="10.7109375" style="411" customWidth="1"/>
    <col min="15370" max="15371" width="10" style="411" customWidth="1"/>
    <col min="15372" max="15372" width="12.140625" style="411" customWidth="1"/>
    <col min="15373" max="15616" width="9.140625" style="411"/>
    <col min="15617" max="15617" width="4.7109375" style="411" customWidth="1"/>
    <col min="15618" max="15618" width="16.85546875" style="411" customWidth="1"/>
    <col min="15619" max="15619" width="11.7109375" style="411" customWidth="1"/>
    <col min="15620" max="15620" width="10" style="411" customWidth="1"/>
    <col min="15621" max="15621" width="12.5703125" style="411" customWidth="1"/>
    <col min="15622" max="15622" width="10.28515625" style="411" customWidth="1"/>
    <col min="15623" max="15623" width="11" style="411" customWidth="1"/>
    <col min="15624" max="15624" width="10.5703125" style="411" customWidth="1"/>
    <col min="15625" max="15625" width="10.7109375" style="411" customWidth="1"/>
    <col min="15626" max="15627" width="10" style="411" customWidth="1"/>
    <col min="15628" max="15628" width="12.140625" style="411" customWidth="1"/>
    <col min="15629" max="15872" width="9.140625" style="411"/>
    <col min="15873" max="15873" width="4.7109375" style="411" customWidth="1"/>
    <col min="15874" max="15874" width="16.85546875" style="411" customWidth="1"/>
    <col min="15875" max="15875" width="11.7109375" style="411" customWidth="1"/>
    <col min="15876" max="15876" width="10" style="411" customWidth="1"/>
    <col min="15877" max="15877" width="12.5703125" style="411" customWidth="1"/>
    <col min="15878" max="15878" width="10.28515625" style="411" customWidth="1"/>
    <col min="15879" max="15879" width="11" style="411" customWidth="1"/>
    <col min="15880" max="15880" width="10.5703125" style="411" customWidth="1"/>
    <col min="15881" max="15881" width="10.7109375" style="411" customWidth="1"/>
    <col min="15882" max="15883" width="10" style="411" customWidth="1"/>
    <col min="15884" max="15884" width="12.140625" style="411" customWidth="1"/>
    <col min="15885" max="16128" width="9.140625" style="411"/>
    <col min="16129" max="16129" width="4.7109375" style="411" customWidth="1"/>
    <col min="16130" max="16130" width="16.85546875" style="411" customWidth="1"/>
    <col min="16131" max="16131" width="11.7109375" style="411" customWidth="1"/>
    <col min="16132" max="16132" width="10" style="411" customWidth="1"/>
    <col min="16133" max="16133" width="12.5703125" style="411" customWidth="1"/>
    <col min="16134" max="16134" width="10.28515625" style="411" customWidth="1"/>
    <col min="16135" max="16135" width="11" style="411" customWidth="1"/>
    <col min="16136" max="16136" width="10.5703125" style="411" customWidth="1"/>
    <col min="16137" max="16137" width="10.7109375" style="411" customWidth="1"/>
    <col min="16138" max="16139" width="10" style="411" customWidth="1"/>
    <col min="16140" max="16140" width="12.140625" style="411" customWidth="1"/>
    <col min="16141" max="16384" width="9.140625" style="411"/>
  </cols>
  <sheetData>
    <row r="1" spans="1:14">
      <c r="D1" s="412"/>
      <c r="E1" s="412"/>
      <c r="F1" s="412"/>
      <c r="G1" s="412"/>
      <c r="H1" s="412"/>
      <c r="I1" s="446" t="s">
        <v>92</v>
      </c>
      <c r="J1" s="446"/>
      <c r="K1" s="446"/>
      <c r="L1" s="446"/>
    </row>
    <row r="2" spans="1:14" ht="15.75" customHeight="1">
      <c r="C2" s="413"/>
      <c r="D2" s="413"/>
      <c r="E2" s="413"/>
      <c r="F2" s="413"/>
      <c r="G2" s="413"/>
      <c r="H2" s="413"/>
      <c r="I2" s="445" t="s">
        <v>104</v>
      </c>
      <c r="J2" s="445"/>
      <c r="K2" s="445"/>
      <c r="L2" s="445"/>
    </row>
    <row r="3" spans="1:14">
      <c r="C3" s="413"/>
      <c r="D3" s="413"/>
      <c r="E3" s="413"/>
      <c r="F3" s="413"/>
      <c r="G3" s="413"/>
      <c r="H3" s="413"/>
      <c r="I3" s="445"/>
      <c r="J3" s="445"/>
      <c r="K3" s="445"/>
      <c r="L3" s="445"/>
    </row>
    <row r="4" spans="1:14">
      <c r="A4" s="446" t="s">
        <v>1107</v>
      </c>
      <c r="B4" s="446"/>
      <c r="C4" s="446"/>
      <c r="D4" s="446"/>
      <c r="E4" s="446"/>
      <c r="F4" s="446"/>
      <c r="G4" s="446"/>
      <c r="H4" s="446"/>
      <c r="I4" s="446"/>
      <c r="J4" s="446"/>
      <c r="K4" s="446"/>
      <c r="L4" s="446"/>
    </row>
    <row r="5" spans="1:14">
      <c r="C5" s="447" t="s">
        <v>1108</v>
      </c>
      <c r="D5" s="447"/>
      <c r="E5" s="447"/>
      <c r="F5" s="447"/>
      <c r="G5" s="447"/>
      <c r="H5" s="447"/>
      <c r="I5" s="447"/>
      <c r="J5" s="447"/>
      <c r="K5" s="447"/>
      <c r="L5" s="447"/>
    </row>
    <row r="6" spans="1:14" ht="16.5" customHeight="1">
      <c r="A6" s="448" t="s">
        <v>1109</v>
      </c>
      <c r="B6" s="448" t="s">
        <v>1110</v>
      </c>
      <c r="C6" s="451" t="s">
        <v>1111</v>
      </c>
      <c r="D6" s="451" t="s">
        <v>1112</v>
      </c>
      <c r="E6" s="451"/>
      <c r="F6" s="451"/>
      <c r="G6" s="451"/>
      <c r="H6" s="451" t="s">
        <v>1113</v>
      </c>
      <c r="I6" s="451"/>
      <c r="J6" s="451"/>
      <c r="K6" s="451"/>
      <c r="L6" s="451" t="s">
        <v>1114</v>
      </c>
    </row>
    <row r="7" spans="1:14" ht="38.25" customHeight="1">
      <c r="A7" s="449"/>
      <c r="B7" s="449"/>
      <c r="C7" s="451"/>
      <c r="D7" s="451" t="s">
        <v>93</v>
      </c>
      <c r="E7" s="451"/>
      <c r="F7" s="451" t="s">
        <v>94</v>
      </c>
      <c r="G7" s="451" t="s">
        <v>95</v>
      </c>
      <c r="H7" s="451" t="s">
        <v>93</v>
      </c>
      <c r="I7" s="451"/>
      <c r="J7" s="451" t="s">
        <v>94</v>
      </c>
      <c r="K7" s="451" t="s">
        <v>95</v>
      </c>
      <c r="L7" s="451"/>
    </row>
    <row r="8" spans="1:14" ht="63">
      <c r="A8" s="450"/>
      <c r="B8" s="450"/>
      <c r="C8" s="451"/>
      <c r="D8" s="414" t="s">
        <v>0</v>
      </c>
      <c r="E8" s="414" t="s">
        <v>1515</v>
      </c>
      <c r="F8" s="451"/>
      <c r="G8" s="451"/>
      <c r="H8" s="414" t="s">
        <v>0</v>
      </c>
      <c r="I8" s="414" t="s">
        <v>1515</v>
      </c>
      <c r="J8" s="451"/>
      <c r="K8" s="451"/>
      <c r="L8" s="451"/>
    </row>
    <row r="9" spans="1:14">
      <c r="A9" s="415" t="s">
        <v>3</v>
      </c>
      <c r="B9" s="416" t="s">
        <v>4</v>
      </c>
      <c r="C9" s="414">
        <v>1</v>
      </c>
      <c r="D9" s="414">
        <v>2</v>
      </c>
      <c r="E9" s="414">
        <v>3</v>
      </c>
      <c r="F9" s="414">
        <v>4</v>
      </c>
      <c r="G9" s="414" t="s">
        <v>96</v>
      </c>
      <c r="H9" s="414">
        <v>6</v>
      </c>
      <c r="I9" s="414">
        <v>7</v>
      </c>
      <c r="J9" s="414">
        <v>8</v>
      </c>
      <c r="K9" s="414" t="s">
        <v>97</v>
      </c>
      <c r="L9" s="414" t="s">
        <v>1425</v>
      </c>
      <c r="M9" s="417">
        <f>+H10-J10</f>
        <v>205877.831703</v>
      </c>
    </row>
    <row r="10" spans="1:14" s="420" customFormat="1" ht="23.25" customHeight="1">
      <c r="A10" s="418"/>
      <c r="B10" s="418" t="s">
        <v>1137</v>
      </c>
      <c r="C10" s="419">
        <f>SUM(C11:C30)</f>
        <v>742297</v>
      </c>
      <c r="D10" s="419">
        <f t="shared" ref="D10:L10" si="0">SUM(D11:D30)</f>
        <v>374772</v>
      </c>
      <c r="E10" s="419">
        <f t="shared" si="0"/>
        <v>114750</v>
      </c>
      <c r="F10" s="419">
        <f t="shared" si="0"/>
        <v>581544</v>
      </c>
      <c r="G10" s="419">
        <f t="shared" si="0"/>
        <v>-206813</v>
      </c>
      <c r="H10" s="419">
        <f t="shared" si="0"/>
        <v>665820.831703</v>
      </c>
      <c r="I10" s="419">
        <f t="shared" si="0"/>
        <v>216123.831703</v>
      </c>
      <c r="J10" s="419">
        <f t="shared" si="0"/>
        <v>459943</v>
      </c>
      <c r="K10" s="419">
        <f t="shared" si="0"/>
        <v>205877.831703</v>
      </c>
      <c r="L10" s="419">
        <f t="shared" si="0"/>
        <v>948174.831703</v>
      </c>
    </row>
    <row r="11" spans="1:14" ht="55.5" customHeight="1">
      <c r="A11" s="421">
        <v>1</v>
      </c>
      <c r="B11" s="422" t="s">
        <v>1115</v>
      </c>
      <c r="C11" s="113">
        <v>5641</v>
      </c>
      <c r="D11" s="113">
        <v>22482</v>
      </c>
      <c r="E11" s="113">
        <v>10000</v>
      </c>
      <c r="F11" s="113">
        <v>22398</v>
      </c>
      <c r="G11" s="113">
        <f>D11-F11</f>
        <v>84</v>
      </c>
      <c r="H11" s="113">
        <v>24533</v>
      </c>
      <c r="I11" s="113">
        <v>10706</v>
      </c>
      <c r="J11" s="113">
        <f>21000+1395</f>
        <v>22395</v>
      </c>
      <c r="K11" s="113">
        <f t="shared" ref="K11:K30" si="1">H11-J11</f>
        <v>2138</v>
      </c>
      <c r="L11" s="113">
        <f t="shared" ref="L11:L17" si="2">C11+H11-J11</f>
        <v>7779</v>
      </c>
      <c r="N11" s="417"/>
    </row>
    <row r="12" spans="1:14" ht="56.25" customHeight="1">
      <c r="A12" s="421">
        <v>2</v>
      </c>
      <c r="B12" s="422" t="s">
        <v>1116</v>
      </c>
      <c r="C12" s="113">
        <v>15493</v>
      </c>
      <c r="D12" s="113">
        <f>15900+2000</f>
        <v>17900</v>
      </c>
      <c r="E12" s="113">
        <v>0</v>
      </c>
      <c r="F12" s="113">
        <f>15900+1000</f>
        <v>16900</v>
      </c>
      <c r="G12" s="113">
        <f>D12-F12</f>
        <v>1000</v>
      </c>
      <c r="H12" s="113">
        <v>17771</v>
      </c>
      <c r="I12" s="113">
        <v>0</v>
      </c>
      <c r="J12" s="113">
        <v>7187</v>
      </c>
      <c r="K12" s="113">
        <f t="shared" si="1"/>
        <v>10584</v>
      </c>
      <c r="L12" s="113">
        <f t="shared" si="2"/>
        <v>26077</v>
      </c>
    </row>
    <row r="13" spans="1:14" ht="42.75" customHeight="1">
      <c r="A13" s="421">
        <v>3</v>
      </c>
      <c r="B13" s="422" t="s">
        <v>1117</v>
      </c>
      <c r="C13" s="423">
        <f>184439+286+1648</f>
        <v>186373</v>
      </c>
      <c r="D13" s="113"/>
      <c r="E13" s="113"/>
      <c r="F13" s="113"/>
      <c r="G13" s="113"/>
      <c r="H13" s="113">
        <f>10610+I13+47505</f>
        <v>139182.42600599999</v>
      </c>
      <c r="I13" s="113">
        <v>81067.426005999994</v>
      </c>
      <c r="J13" s="113">
        <f>43390+748+504</f>
        <v>44642</v>
      </c>
      <c r="K13" s="113">
        <f t="shared" si="1"/>
        <v>94540.426005999994</v>
      </c>
      <c r="L13" s="113">
        <f t="shared" si="2"/>
        <v>280913.42600600002</v>
      </c>
    </row>
    <row r="14" spans="1:14" ht="57.75" customHeight="1">
      <c r="A14" s="421">
        <v>4</v>
      </c>
      <c r="B14" s="422" t="s">
        <v>1118</v>
      </c>
      <c r="C14" s="113">
        <v>566</v>
      </c>
      <c r="D14" s="113">
        <f>26125+34000</f>
        <v>60125</v>
      </c>
      <c r="E14" s="113">
        <v>34000</v>
      </c>
      <c r="F14" s="113">
        <v>60125</v>
      </c>
      <c r="G14" s="113">
        <f>D14-F14</f>
        <v>0</v>
      </c>
      <c r="H14" s="424">
        <f>34000+2200+5000+10000+24816+1309</f>
        <v>77325</v>
      </c>
      <c r="I14" s="168">
        <v>51200</v>
      </c>
      <c r="J14" s="424">
        <v>69608</v>
      </c>
      <c r="K14" s="424">
        <f t="shared" si="1"/>
        <v>7717</v>
      </c>
      <c r="L14" s="113">
        <f t="shared" si="2"/>
        <v>8283</v>
      </c>
    </row>
    <row r="15" spans="1:14" ht="60.75" customHeight="1">
      <c r="A15" s="421">
        <v>5</v>
      </c>
      <c r="B15" s="422" t="s">
        <v>1119</v>
      </c>
      <c r="C15" s="113">
        <v>54550</v>
      </c>
      <c r="D15" s="113">
        <v>64165</v>
      </c>
      <c r="E15" s="113">
        <v>0</v>
      </c>
      <c r="F15" s="113">
        <v>64165</v>
      </c>
      <c r="G15" s="113">
        <v>0</v>
      </c>
      <c r="H15" s="113">
        <v>99877</v>
      </c>
      <c r="I15" s="113">
        <v>0</v>
      </c>
      <c r="J15" s="113">
        <v>95769</v>
      </c>
      <c r="K15" s="113">
        <f t="shared" si="1"/>
        <v>4108</v>
      </c>
      <c r="L15" s="113">
        <f t="shared" si="2"/>
        <v>58658</v>
      </c>
    </row>
    <row r="16" spans="1:14" ht="41.25" customHeight="1">
      <c r="A16" s="421">
        <v>6</v>
      </c>
      <c r="B16" s="422" t="s">
        <v>125</v>
      </c>
      <c r="C16" s="113">
        <v>367306</v>
      </c>
      <c r="D16" s="113">
        <v>133382</v>
      </c>
      <c r="E16" s="113">
        <v>30000</v>
      </c>
      <c r="F16" s="113">
        <v>337779</v>
      </c>
      <c r="G16" s="113">
        <f>D16-F16</f>
        <v>-204397</v>
      </c>
      <c r="H16" s="113">
        <v>159866</v>
      </c>
      <c r="I16" s="113">
        <v>30000</v>
      </c>
      <c r="J16" s="113">
        <v>93511</v>
      </c>
      <c r="K16" s="113">
        <f t="shared" si="1"/>
        <v>66355</v>
      </c>
      <c r="L16" s="113">
        <f t="shared" si="2"/>
        <v>433661</v>
      </c>
    </row>
    <row r="17" spans="1:13" ht="55.5" customHeight="1">
      <c r="A17" s="421">
        <v>7</v>
      </c>
      <c r="B17" s="422" t="s">
        <v>1120</v>
      </c>
      <c r="C17" s="113">
        <f>25900-25522</f>
        <v>378</v>
      </c>
      <c r="D17" s="113">
        <v>16677</v>
      </c>
      <c r="E17" s="113">
        <v>5000</v>
      </c>
      <c r="F17" s="113">
        <v>16677</v>
      </c>
      <c r="G17" s="113"/>
      <c r="H17" s="113">
        <v>16677</v>
      </c>
      <c r="I17" s="113">
        <v>5000</v>
      </c>
      <c r="J17" s="113">
        <v>15700</v>
      </c>
      <c r="K17" s="113">
        <f t="shared" si="1"/>
        <v>977</v>
      </c>
      <c r="L17" s="113">
        <f t="shared" si="2"/>
        <v>1355</v>
      </c>
      <c r="M17" s="411" t="s">
        <v>1121</v>
      </c>
    </row>
    <row r="18" spans="1:13" ht="90" customHeight="1">
      <c r="A18" s="421">
        <v>8</v>
      </c>
      <c r="B18" s="422" t="s">
        <v>1122</v>
      </c>
      <c r="C18" s="113">
        <v>87228</v>
      </c>
      <c r="D18" s="113"/>
      <c r="E18" s="113" t="s">
        <v>1123</v>
      </c>
      <c r="F18" s="113" t="s">
        <v>1124</v>
      </c>
      <c r="G18" s="113"/>
      <c r="H18" s="113">
        <v>5765</v>
      </c>
      <c r="I18" s="113">
        <v>0</v>
      </c>
      <c r="J18" s="113">
        <f>288+291</f>
        <v>579</v>
      </c>
      <c r="K18" s="113">
        <f t="shared" si="1"/>
        <v>5186</v>
      </c>
      <c r="L18" s="113">
        <f>C18+H18-J18</f>
        <v>92414</v>
      </c>
    </row>
    <row r="19" spans="1:13" ht="55.5" customHeight="1">
      <c r="A19" s="421">
        <v>9</v>
      </c>
      <c r="B19" s="422" t="s">
        <v>1125</v>
      </c>
      <c r="C19" s="113">
        <v>1852</v>
      </c>
      <c r="D19" s="113"/>
      <c r="E19" s="113"/>
      <c r="F19" s="113" t="s">
        <v>1126</v>
      </c>
      <c r="G19" s="113"/>
      <c r="H19" s="113">
        <v>9824</v>
      </c>
      <c r="I19" s="113">
        <v>0</v>
      </c>
      <c r="J19" s="113">
        <v>760</v>
      </c>
      <c r="K19" s="113">
        <f t="shared" si="1"/>
        <v>9064</v>
      </c>
      <c r="L19" s="113">
        <f>C19+H19-J19</f>
        <v>10916</v>
      </c>
    </row>
    <row r="20" spans="1:13" ht="73.5" customHeight="1">
      <c r="A20" s="421">
        <v>10</v>
      </c>
      <c r="B20" s="422" t="s">
        <v>1127</v>
      </c>
      <c r="C20" s="113">
        <v>1046</v>
      </c>
      <c r="D20" s="113">
        <f>E20</f>
        <v>15000</v>
      </c>
      <c r="E20" s="113">
        <v>15000</v>
      </c>
      <c r="F20" s="113">
        <v>18500</v>
      </c>
      <c r="G20" s="113">
        <f>D20-F20</f>
        <v>-3500</v>
      </c>
      <c r="H20" s="113">
        <f>+I20</f>
        <v>17400.405696999998</v>
      </c>
      <c r="I20" s="113">
        <v>17400.405696999998</v>
      </c>
      <c r="J20" s="113">
        <f>18446</f>
        <v>18446</v>
      </c>
      <c r="K20" s="113">
        <f t="shared" si="1"/>
        <v>-1045.5943030000017</v>
      </c>
      <c r="L20" s="113">
        <f>C20+H20-J20</f>
        <v>0.40569699999832665</v>
      </c>
    </row>
    <row r="21" spans="1:13" ht="40.5" customHeight="1">
      <c r="A21" s="421">
        <v>11</v>
      </c>
      <c r="B21" s="422" t="s">
        <v>1128</v>
      </c>
      <c r="C21" s="113">
        <v>35</v>
      </c>
      <c r="D21" s="113">
        <v>45000</v>
      </c>
      <c r="E21" s="425">
        <v>20000</v>
      </c>
      <c r="F21" s="113">
        <v>45000</v>
      </c>
      <c r="G21" s="113">
        <f>D21-F21</f>
        <v>0</v>
      </c>
      <c r="H21" s="113">
        <v>45532</v>
      </c>
      <c r="I21" s="113">
        <v>20000</v>
      </c>
      <c r="J21" s="113">
        <v>45555</v>
      </c>
      <c r="K21" s="113">
        <f t="shared" si="1"/>
        <v>-23</v>
      </c>
      <c r="L21" s="113">
        <f>K21+C21</f>
        <v>12</v>
      </c>
    </row>
    <row r="22" spans="1:13" ht="55.5" customHeight="1">
      <c r="A22" s="421">
        <v>12</v>
      </c>
      <c r="B22" s="422" t="s">
        <v>1129</v>
      </c>
      <c r="C22" s="113">
        <v>1872</v>
      </c>
      <c r="D22" s="113"/>
      <c r="E22" s="113"/>
      <c r="F22" s="113"/>
      <c r="G22" s="113"/>
      <c r="H22" s="113">
        <v>12499</v>
      </c>
      <c r="I22" s="113"/>
      <c r="J22" s="113">
        <v>9379</v>
      </c>
      <c r="K22" s="113">
        <f t="shared" si="1"/>
        <v>3120</v>
      </c>
      <c r="L22" s="113">
        <f t="shared" ref="L22:L30" si="3">C22+H22-J22</f>
        <v>4992</v>
      </c>
    </row>
    <row r="23" spans="1:13" ht="57.75" customHeight="1">
      <c r="A23" s="421">
        <v>13</v>
      </c>
      <c r="B23" s="422" t="s">
        <v>1130</v>
      </c>
      <c r="C23" s="113">
        <v>1296</v>
      </c>
      <c r="D23" s="113"/>
      <c r="E23" s="113">
        <v>500</v>
      </c>
      <c r="F23" s="113"/>
      <c r="G23" s="113"/>
      <c r="H23" s="113">
        <v>1147</v>
      </c>
      <c r="I23" s="113">
        <v>500</v>
      </c>
      <c r="J23" s="113">
        <v>1545</v>
      </c>
      <c r="K23" s="113">
        <f t="shared" si="1"/>
        <v>-398</v>
      </c>
      <c r="L23" s="113">
        <f t="shared" si="3"/>
        <v>898</v>
      </c>
    </row>
    <row r="24" spans="1:13" ht="45" customHeight="1">
      <c r="A24" s="421">
        <v>14</v>
      </c>
      <c r="B24" s="422" t="s">
        <v>1131</v>
      </c>
      <c r="C24" s="113">
        <v>729</v>
      </c>
      <c r="D24" s="113"/>
      <c r="E24" s="113"/>
      <c r="F24" s="113"/>
      <c r="G24" s="113"/>
      <c r="H24" s="113">
        <v>2304</v>
      </c>
      <c r="I24" s="113"/>
      <c r="J24" s="113">
        <v>2713</v>
      </c>
      <c r="K24" s="113">
        <f t="shared" si="1"/>
        <v>-409</v>
      </c>
      <c r="L24" s="113">
        <f t="shared" si="3"/>
        <v>320</v>
      </c>
    </row>
    <row r="25" spans="1:13" ht="44.25" customHeight="1">
      <c r="A25" s="421">
        <v>15</v>
      </c>
      <c r="B25" s="422" t="s">
        <v>1132</v>
      </c>
      <c r="C25" s="113">
        <v>2037</v>
      </c>
      <c r="D25" s="113"/>
      <c r="E25" s="113"/>
      <c r="F25" s="113"/>
      <c r="G25" s="113"/>
      <c r="H25" s="113">
        <v>88</v>
      </c>
      <c r="I25" s="113"/>
      <c r="J25" s="113">
        <v>376</v>
      </c>
      <c r="K25" s="113">
        <f t="shared" si="1"/>
        <v>-288</v>
      </c>
      <c r="L25" s="113">
        <f t="shared" si="3"/>
        <v>1749</v>
      </c>
    </row>
    <row r="26" spans="1:13" ht="31.5">
      <c r="A26" s="421">
        <v>16</v>
      </c>
      <c r="B26" s="422" t="s">
        <v>1133</v>
      </c>
      <c r="C26" s="113">
        <v>2224</v>
      </c>
      <c r="D26" s="113"/>
      <c r="E26" s="113"/>
      <c r="F26" s="113"/>
      <c r="G26" s="113"/>
      <c r="H26" s="113">
        <v>107</v>
      </c>
      <c r="I26" s="113"/>
      <c r="J26" s="113">
        <v>154</v>
      </c>
      <c r="K26" s="113">
        <f t="shared" si="1"/>
        <v>-47</v>
      </c>
      <c r="L26" s="113">
        <f t="shared" si="3"/>
        <v>2177</v>
      </c>
    </row>
    <row r="27" spans="1:13" ht="42.75" customHeight="1">
      <c r="A27" s="421">
        <v>17</v>
      </c>
      <c r="B27" s="422" t="s">
        <v>1432</v>
      </c>
      <c r="C27" s="113">
        <v>1440</v>
      </c>
      <c r="D27" s="113"/>
      <c r="E27" s="113"/>
      <c r="F27" s="113"/>
      <c r="G27" s="113"/>
      <c r="H27" s="113">
        <v>1525</v>
      </c>
      <c r="I27" s="113"/>
      <c r="J27" s="113">
        <v>2146</v>
      </c>
      <c r="K27" s="113">
        <f t="shared" si="1"/>
        <v>-621</v>
      </c>
      <c r="L27" s="113">
        <f t="shared" si="3"/>
        <v>819</v>
      </c>
    </row>
    <row r="28" spans="1:13" ht="43.5" customHeight="1">
      <c r="A28" s="421">
        <v>18</v>
      </c>
      <c r="B28" s="422" t="s">
        <v>1134</v>
      </c>
      <c r="C28" s="113">
        <v>3501</v>
      </c>
      <c r="D28" s="113"/>
      <c r="E28" s="113">
        <v>250</v>
      </c>
      <c r="F28" s="113"/>
      <c r="G28" s="113"/>
      <c r="H28" s="113">
        <v>4937</v>
      </c>
      <c r="I28" s="113">
        <v>250</v>
      </c>
      <c r="J28" s="113">
        <v>6144</v>
      </c>
      <c r="K28" s="113">
        <f t="shared" si="1"/>
        <v>-1207</v>
      </c>
      <c r="L28" s="113">
        <f t="shared" si="3"/>
        <v>2294</v>
      </c>
    </row>
    <row r="29" spans="1:13" ht="115.5" customHeight="1">
      <c r="A29" s="421">
        <v>19</v>
      </c>
      <c r="B29" s="422" t="s">
        <v>1426</v>
      </c>
      <c r="C29" s="113">
        <v>8159</v>
      </c>
      <c r="D29" s="113"/>
      <c r="E29" s="113"/>
      <c r="F29" s="113"/>
      <c r="G29" s="113"/>
      <c r="H29" s="113">
        <v>29420</v>
      </c>
      <c r="I29" s="113">
        <v>0</v>
      </c>
      <c r="J29" s="113">
        <v>23282</v>
      </c>
      <c r="K29" s="113">
        <f t="shared" si="1"/>
        <v>6138</v>
      </c>
      <c r="L29" s="113">
        <f t="shared" si="3"/>
        <v>14297</v>
      </c>
    </row>
    <row r="30" spans="1:13" ht="43.5" customHeight="1">
      <c r="A30" s="426">
        <v>20</v>
      </c>
      <c r="B30" s="427" t="s">
        <v>1135</v>
      </c>
      <c r="C30" s="354">
        <v>571</v>
      </c>
      <c r="D30" s="354">
        <v>41</v>
      </c>
      <c r="E30" s="354" t="s">
        <v>1136</v>
      </c>
      <c r="F30" s="354"/>
      <c r="G30" s="354"/>
      <c r="H30" s="354">
        <v>41</v>
      </c>
      <c r="I30" s="354">
        <v>0</v>
      </c>
      <c r="J30" s="354">
        <v>52</v>
      </c>
      <c r="K30" s="354">
        <f t="shared" si="1"/>
        <v>-11</v>
      </c>
      <c r="L30" s="354">
        <f t="shared" si="3"/>
        <v>560</v>
      </c>
    </row>
    <row r="32" spans="1:13">
      <c r="E32" s="411" t="s">
        <v>1138</v>
      </c>
      <c r="F32" s="411" t="s">
        <v>1139</v>
      </c>
      <c r="H32" s="411" t="s">
        <v>1140</v>
      </c>
    </row>
    <row r="35" spans="5:9">
      <c r="E35" s="411" t="s">
        <v>1141</v>
      </c>
    </row>
    <row r="36" spans="5:9">
      <c r="H36" s="411" t="s">
        <v>1142</v>
      </c>
    </row>
    <row r="37" spans="5:9">
      <c r="I37" s="411" t="s">
        <v>1143</v>
      </c>
    </row>
    <row r="38" spans="5:9">
      <c r="I38" s="411" t="s">
        <v>1144</v>
      </c>
    </row>
    <row r="39" spans="5:9">
      <c r="G39" s="411" t="s">
        <v>1145</v>
      </c>
      <c r="H39" s="411" t="s">
        <v>1145</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33" customWidth="1"/>
    <col min="2" max="2" width="34.5703125" style="333" customWidth="1"/>
    <col min="3" max="3" width="7.140625" style="333" hidden="1" customWidth="1"/>
    <col min="4" max="4" width="3.42578125" style="333" hidden="1" customWidth="1"/>
    <col min="5" max="5" width="8" style="367" hidden="1" customWidth="1"/>
    <col min="6" max="6" width="9.28515625" style="367" hidden="1" customWidth="1"/>
    <col min="7" max="7" width="10.85546875" style="343" hidden="1" customWidth="1"/>
    <col min="8" max="9" width="10" style="343" hidden="1" customWidth="1"/>
    <col min="10" max="10" width="10.7109375" style="343" hidden="1" customWidth="1"/>
    <col min="11" max="11" width="10" style="343" hidden="1" customWidth="1"/>
    <col min="12" max="12" width="10.85546875" style="343" hidden="1" customWidth="1"/>
    <col min="13" max="13" width="10" style="343" hidden="1" customWidth="1"/>
    <col min="14" max="14" width="10.85546875" style="343" hidden="1" customWidth="1"/>
    <col min="15" max="15" width="10" style="343" hidden="1" customWidth="1"/>
    <col min="16" max="16" width="12.85546875" style="343" hidden="1" customWidth="1"/>
    <col min="17" max="17" width="12.140625" style="343" hidden="1" customWidth="1"/>
    <col min="18" max="18" width="12.5703125" style="343" hidden="1" customWidth="1"/>
    <col min="19" max="19" width="10.42578125" style="343" hidden="1" customWidth="1"/>
    <col min="20" max="20" width="10.42578125" style="343" customWidth="1"/>
    <col min="21" max="21" width="12.85546875" style="343" customWidth="1"/>
    <col min="22" max="22" width="13.140625" style="343" customWidth="1"/>
    <col min="23" max="23" width="11.85546875" style="343" customWidth="1"/>
    <col min="24" max="24" width="13.140625" style="343" customWidth="1"/>
    <col min="25" max="29" width="10.42578125" style="343" customWidth="1"/>
    <col min="30" max="30" width="10" style="344" customWidth="1"/>
    <col min="31" max="31" width="12.140625" style="344" customWidth="1"/>
    <col min="32" max="33" width="10" style="344" customWidth="1"/>
    <col min="34" max="34" width="8.140625" style="344" customWidth="1"/>
    <col min="35" max="35" width="12.28515625" style="333" customWidth="1"/>
    <col min="36" max="16384" width="9.140625" style="333"/>
  </cols>
  <sheetData>
    <row r="1" spans="1:35" ht="15" customHeight="1">
      <c r="A1" s="332"/>
      <c r="B1" s="332"/>
      <c r="C1" s="332"/>
      <c r="D1" s="332"/>
      <c r="E1" s="366"/>
      <c r="F1" s="366"/>
      <c r="G1" s="341"/>
      <c r="H1" s="362"/>
      <c r="I1" s="362"/>
      <c r="J1" s="362"/>
      <c r="K1" s="362"/>
      <c r="P1" s="362"/>
      <c r="Q1" s="452" t="s">
        <v>80</v>
      </c>
      <c r="R1" s="452"/>
      <c r="S1" s="452"/>
      <c r="T1" s="362"/>
      <c r="AA1" s="330"/>
      <c r="AD1" s="452" t="s">
        <v>80</v>
      </c>
      <c r="AE1" s="452"/>
      <c r="AF1" s="452"/>
      <c r="AG1" s="452"/>
      <c r="AH1" s="406"/>
    </row>
    <row r="2" spans="1:35" ht="15.75" customHeight="1">
      <c r="A2" s="332"/>
      <c r="B2" s="332"/>
      <c r="C2" s="332"/>
      <c r="D2" s="332"/>
      <c r="E2" s="366"/>
      <c r="F2" s="366"/>
      <c r="G2" s="341"/>
      <c r="H2" s="363"/>
      <c r="I2" s="363"/>
      <c r="J2" s="363"/>
      <c r="K2" s="363"/>
      <c r="P2" s="363"/>
      <c r="Q2" s="453" t="s">
        <v>104</v>
      </c>
      <c r="R2" s="453"/>
      <c r="S2" s="453"/>
      <c r="T2" s="363"/>
      <c r="AA2" s="331"/>
      <c r="AD2" s="453" t="s">
        <v>104</v>
      </c>
      <c r="AE2" s="453"/>
      <c r="AF2" s="453"/>
      <c r="AG2" s="453"/>
      <c r="AH2" s="407"/>
    </row>
    <row r="3" spans="1:35">
      <c r="A3" s="332"/>
      <c r="B3" s="332"/>
      <c r="C3" s="332"/>
      <c r="D3" s="332"/>
      <c r="E3" s="366"/>
      <c r="F3" s="366"/>
      <c r="G3" s="341"/>
      <c r="H3" s="363"/>
      <c r="I3" s="363"/>
      <c r="J3" s="363"/>
      <c r="K3" s="363"/>
      <c r="P3" s="363"/>
      <c r="Q3" s="453"/>
      <c r="R3" s="453"/>
      <c r="S3" s="453"/>
      <c r="T3" s="363"/>
      <c r="AA3" s="331"/>
      <c r="AD3" s="453"/>
      <c r="AE3" s="453"/>
      <c r="AF3" s="453"/>
      <c r="AG3" s="453"/>
      <c r="AH3" s="407"/>
    </row>
    <row r="4" spans="1:35" ht="26.25" customHeight="1">
      <c r="A4" s="455" t="s">
        <v>1447</v>
      </c>
      <c r="B4" s="455"/>
      <c r="C4" s="455"/>
      <c r="D4" s="455"/>
      <c r="E4" s="455"/>
      <c r="F4" s="455"/>
      <c r="G4" s="455"/>
      <c r="H4" s="455"/>
      <c r="I4" s="455"/>
      <c r="J4" s="455"/>
      <c r="K4" s="455"/>
      <c r="L4" s="455"/>
      <c r="M4" s="455"/>
      <c r="N4" s="455"/>
      <c r="O4" s="455"/>
      <c r="P4" s="455"/>
      <c r="Q4" s="455"/>
      <c r="R4" s="455"/>
      <c r="S4" s="455"/>
      <c r="T4" s="455"/>
      <c r="U4" s="455"/>
      <c r="V4" s="455"/>
      <c r="W4" s="455"/>
      <c r="X4" s="455"/>
      <c r="Y4" s="455"/>
      <c r="Z4" s="455"/>
      <c r="AA4" s="455"/>
      <c r="AB4" s="455"/>
      <c r="AC4" s="455"/>
      <c r="AD4" s="455"/>
      <c r="AE4" s="455"/>
      <c r="AF4" s="455"/>
      <c r="AG4" s="455"/>
      <c r="AH4" s="455"/>
    </row>
    <row r="5" spans="1:35">
      <c r="A5" s="332"/>
      <c r="B5" s="332"/>
      <c r="C5" s="332"/>
      <c r="D5" s="332"/>
      <c r="E5" s="366"/>
      <c r="F5" s="366"/>
      <c r="G5" s="332"/>
      <c r="H5" s="332"/>
      <c r="I5" s="332"/>
      <c r="J5" s="332"/>
      <c r="K5" s="332"/>
      <c r="L5" s="332"/>
      <c r="M5" s="332"/>
      <c r="N5" s="332"/>
      <c r="O5" s="332"/>
      <c r="P5" s="332"/>
      <c r="Q5" s="332"/>
      <c r="R5" s="332"/>
      <c r="S5" s="332"/>
      <c r="T5" s="332"/>
      <c r="U5" s="332"/>
      <c r="V5" s="332"/>
      <c r="W5" s="332"/>
      <c r="X5" s="332"/>
      <c r="Y5" s="332"/>
      <c r="Z5" s="332"/>
      <c r="AA5" s="332"/>
      <c r="AB5" s="332"/>
      <c r="AC5" s="332"/>
      <c r="AD5" s="332"/>
      <c r="AE5" s="332"/>
      <c r="AF5" s="332"/>
      <c r="AG5" s="332"/>
      <c r="AH5" s="332"/>
    </row>
    <row r="6" spans="1:35">
      <c r="A6" s="342"/>
      <c r="P6" s="344"/>
      <c r="Q6" s="454" t="s">
        <v>20</v>
      </c>
      <c r="R6" s="454"/>
      <c r="S6" s="454"/>
      <c r="V6" s="454"/>
      <c r="W6" s="454"/>
      <c r="X6" s="454"/>
      <c r="AF6" s="454" t="s">
        <v>20</v>
      </c>
      <c r="AG6" s="454"/>
      <c r="AH6" s="454"/>
    </row>
    <row r="7" spans="1:35" s="6" customFormat="1" ht="19.5" customHeight="1">
      <c r="A7" s="457" t="s">
        <v>1</v>
      </c>
      <c r="B7" s="457" t="s">
        <v>81</v>
      </c>
      <c r="C7" s="457" t="s">
        <v>82</v>
      </c>
      <c r="D7" s="457" t="s">
        <v>83</v>
      </c>
      <c r="E7" s="457" t="s">
        <v>84</v>
      </c>
      <c r="F7" s="467" t="s">
        <v>85</v>
      </c>
      <c r="G7" s="468"/>
      <c r="H7" s="468"/>
      <c r="I7" s="468"/>
      <c r="J7" s="468"/>
      <c r="K7" s="469"/>
      <c r="L7" s="456" t="s">
        <v>203</v>
      </c>
      <c r="M7" s="456"/>
      <c r="N7" s="456"/>
      <c r="O7" s="456"/>
      <c r="P7" s="456" t="s">
        <v>204</v>
      </c>
      <c r="Q7" s="456"/>
      <c r="R7" s="456"/>
      <c r="S7" s="456"/>
      <c r="T7" s="456" t="s">
        <v>1448</v>
      </c>
      <c r="U7" s="456"/>
      <c r="V7" s="456"/>
      <c r="W7" s="456"/>
      <c r="X7" s="456"/>
      <c r="Y7" s="456" t="s">
        <v>86</v>
      </c>
      <c r="Z7" s="456"/>
      <c r="AA7" s="456"/>
      <c r="AB7" s="456"/>
      <c r="AC7" s="456"/>
      <c r="AD7" s="457" t="s">
        <v>32</v>
      </c>
      <c r="AE7" s="457"/>
      <c r="AF7" s="457"/>
      <c r="AG7" s="457"/>
      <c r="AH7" s="457"/>
    </row>
    <row r="8" spans="1:35" s="6" customFormat="1" ht="18" customHeight="1">
      <c r="A8" s="457"/>
      <c r="B8" s="457"/>
      <c r="C8" s="457"/>
      <c r="D8" s="457"/>
      <c r="E8" s="457"/>
      <c r="F8" s="458" t="s">
        <v>87</v>
      </c>
      <c r="G8" s="461" t="s">
        <v>88</v>
      </c>
      <c r="H8" s="462"/>
      <c r="I8" s="462"/>
      <c r="J8" s="462"/>
      <c r="K8" s="463"/>
      <c r="L8" s="456"/>
      <c r="M8" s="456"/>
      <c r="N8" s="456"/>
      <c r="O8" s="456"/>
      <c r="P8" s="456"/>
      <c r="Q8" s="456"/>
      <c r="R8" s="456"/>
      <c r="S8" s="456"/>
      <c r="T8" s="456"/>
      <c r="U8" s="456"/>
      <c r="V8" s="456"/>
      <c r="W8" s="456"/>
      <c r="X8" s="456"/>
      <c r="Y8" s="456"/>
      <c r="Z8" s="456"/>
      <c r="AA8" s="456"/>
      <c r="AB8" s="456"/>
      <c r="AC8" s="456"/>
      <c r="AD8" s="457"/>
      <c r="AE8" s="457"/>
      <c r="AF8" s="457"/>
      <c r="AG8" s="457"/>
      <c r="AH8" s="457"/>
    </row>
    <row r="9" spans="1:35" s="6" customFormat="1" ht="19.5" customHeight="1">
      <c r="A9" s="457"/>
      <c r="B9" s="457"/>
      <c r="C9" s="457"/>
      <c r="D9" s="457"/>
      <c r="E9" s="457"/>
      <c r="F9" s="459"/>
      <c r="G9" s="464" t="s">
        <v>89</v>
      </c>
      <c r="H9" s="461" t="s">
        <v>18</v>
      </c>
      <c r="I9" s="462"/>
      <c r="J9" s="462"/>
      <c r="K9" s="463"/>
      <c r="L9" s="456" t="s">
        <v>0</v>
      </c>
      <c r="M9" s="456" t="s">
        <v>18</v>
      </c>
      <c r="N9" s="456"/>
      <c r="O9" s="456"/>
      <c r="P9" s="456" t="s">
        <v>0</v>
      </c>
      <c r="Q9" s="456" t="s">
        <v>18</v>
      </c>
      <c r="R9" s="456"/>
      <c r="S9" s="456"/>
      <c r="T9" s="456" t="s">
        <v>0</v>
      </c>
      <c r="U9" s="456" t="s">
        <v>18</v>
      </c>
      <c r="V9" s="456"/>
      <c r="W9" s="456"/>
      <c r="X9" s="456"/>
      <c r="Y9" s="456" t="s">
        <v>0</v>
      </c>
      <c r="Z9" s="456" t="s">
        <v>18</v>
      </c>
      <c r="AA9" s="456"/>
      <c r="AB9" s="456"/>
      <c r="AC9" s="456"/>
      <c r="AD9" s="466" t="s">
        <v>0</v>
      </c>
      <c r="AE9" s="466" t="s">
        <v>18</v>
      </c>
      <c r="AF9" s="466"/>
      <c r="AG9" s="466"/>
      <c r="AH9" s="466"/>
    </row>
    <row r="10" spans="1:35" s="6" customFormat="1" ht="49.5" customHeight="1">
      <c r="A10" s="457"/>
      <c r="B10" s="457"/>
      <c r="C10" s="457"/>
      <c r="D10" s="457"/>
      <c r="E10" s="457"/>
      <c r="F10" s="460"/>
      <c r="G10" s="465"/>
      <c r="H10" s="318" t="s">
        <v>90</v>
      </c>
      <c r="I10" s="318" t="s">
        <v>91</v>
      </c>
      <c r="J10" s="318" t="s">
        <v>205</v>
      </c>
      <c r="K10" s="318" t="s">
        <v>206</v>
      </c>
      <c r="L10" s="456"/>
      <c r="M10" s="318" t="s">
        <v>90</v>
      </c>
      <c r="N10" s="318" t="s">
        <v>207</v>
      </c>
      <c r="O10" s="318" t="s">
        <v>206</v>
      </c>
      <c r="P10" s="456"/>
      <c r="Q10" s="318" t="s">
        <v>90</v>
      </c>
      <c r="R10" s="318" t="s">
        <v>207</v>
      </c>
      <c r="S10" s="318" t="s">
        <v>206</v>
      </c>
      <c r="T10" s="456"/>
      <c r="U10" s="318" t="s">
        <v>90</v>
      </c>
      <c r="V10" s="318" t="s">
        <v>91</v>
      </c>
      <c r="W10" s="318" t="s">
        <v>205</v>
      </c>
      <c r="X10" s="318" t="s">
        <v>206</v>
      </c>
      <c r="Y10" s="456"/>
      <c r="Z10" s="318" t="s">
        <v>90</v>
      </c>
      <c r="AA10" s="318" t="s">
        <v>1184</v>
      </c>
      <c r="AB10" s="318" t="s">
        <v>205</v>
      </c>
      <c r="AC10" s="318" t="s">
        <v>206</v>
      </c>
      <c r="AD10" s="466"/>
      <c r="AE10" s="319" t="s">
        <v>90</v>
      </c>
      <c r="AF10" s="319" t="s">
        <v>91</v>
      </c>
      <c r="AG10" s="319" t="s">
        <v>205</v>
      </c>
      <c r="AH10" s="319" t="s">
        <v>206</v>
      </c>
      <c r="AI10" s="7"/>
    </row>
    <row r="11" spans="1:35" s="365" customFormat="1" ht="12.75" customHeight="1">
      <c r="A11" s="364" t="s">
        <v>3</v>
      </c>
      <c r="B11" s="364" t="s">
        <v>4</v>
      </c>
      <c r="C11" s="364">
        <v>1</v>
      </c>
      <c r="D11" s="364">
        <v>2</v>
      </c>
      <c r="E11" s="368">
        <v>3</v>
      </c>
      <c r="F11" s="368">
        <v>4</v>
      </c>
      <c r="G11" s="364">
        <v>5</v>
      </c>
      <c r="H11" s="364">
        <v>6</v>
      </c>
      <c r="I11" s="364">
        <v>7</v>
      </c>
      <c r="J11" s="364">
        <v>8</v>
      </c>
      <c r="K11" s="364">
        <v>9</v>
      </c>
      <c r="L11" s="364">
        <v>10</v>
      </c>
      <c r="M11" s="364">
        <v>11</v>
      </c>
      <c r="N11" s="364">
        <v>12</v>
      </c>
      <c r="O11" s="364">
        <v>13</v>
      </c>
      <c r="P11" s="364">
        <v>14</v>
      </c>
      <c r="Q11" s="364">
        <v>15</v>
      </c>
      <c r="R11" s="364">
        <v>16</v>
      </c>
      <c r="S11" s="364">
        <v>17</v>
      </c>
      <c r="T11" s="364">
        <v>18</v>
      </c>
      <c r="U11" s="364">
        <v>19</v>
      </c>
      <c r="V11" s="364">
        <v>20</v>
      </c>
      <c r="W11" s="364">
        <v>21</v>
      </c>
      <c r="X11" s="364">
        <v>22</v>
      </c>
      <c r="Y11" s="364">
        <v>23</v>
      </c>
      <c r="Z11" s="364">
        <v>24</v>
      </c>
      <c r="AA11" s="364">
        <v>25</v>
      </c>
      <c r="AB11" s="364">
        <v>27</v>
      </c>
      <c r="AC11" s="364">
        <v>28</v>
      </c>
      <c r="AD11" s="319" t="s">
        <v>208</v>
      </c>
      <c r="AE11" s="319" t="s">
        <v>209</v>
      </c>
      <c r="AF11" s="319" t="s">
        <v>210</v>
      </c>
      <c r="AG11" s="319" t="s">
        <v>211</v>
      </c>
      <c r="AH11" s="319" t="s">
        <v>212</v>
      </c>
    </row>
    <row r="12" spans="1:35" s="361" customFormat="1" ht="23.25" customHeight="1">
      <c r="A12" s="358"/>
      <c r="B12" s="358" t="s">
        <v>53</v>
      </c>
      <c r="C12" s="358"/>
      <c r="D12" s="358"/>
      <c r="E12" s="357"/>
      <c r="F12" s="357"/>
      <c r="G12" s="207">
        <f t="shared" ref="G12:S12" si="0">SUM(G14:G496)</f>
        <v>30343501.226461992</v>
      </c>
      <c r="H12" s="207">
        <f t="shared" si="0"/>
        <v>2881859.1277519991</v>
      </c>
      <c r="I12" s="207">
        <f t="shared" si="0"/>
        <v>6393481.5939999996</v>
      </c>
      <c r="J12" s="207">
        <f t="shared" si="0"/>
        <v>3556729</v>
      </c>
      <c r="K12" s="207">
        <f t="shared" si="0"/>
        <v>6469234.4841219969</v>
      </c>
      <c r="L12" s="207">
        <f t="shared" si="0"/>
        <v>15088890.923000008</v>
      </c>
      <c r="M12" s="207">
        <f t="shared" si="0"/>
        <v>1519292.4990000001</v>
      </c>
      <c r="N12" s="207">
        <f t="shared" si="0"/>
        <v>4842387.6979999999</v>
      </c>
      <c r="O12" s="207">
        <f t="shared" si="0"/>
        <v>3846773.0859999997</v>
      </c>
      <c r="P12" s="207">
        <f t="shared" si="0"/>
        <v>13851378.583429012</v>
      </c>
      <c r="Q12" s="207">
        <f t="shared" si="0"/>
        <v>1569099.963</v>
      </c>
      <c r="R12" s="207">
        <f t="shared" si="0"/>
        <v>5100733.6769999992</v>
      </c>
      <c r="S12" s="207">
        <f t="shared" si="0"/>
        <v>5115986.2204289958</v>
      </c>
      <c r="T12" s="207">
        <f>SUM(T14:T496)</f>
        <v>4159675.6429570005</v>
      </c>
      <c r="U12" s="207">
        <f t="shared" ref="U12:AC12" si="1">SUM(U14:U496)</f>
        <v>543199.20609300002</v>
      </c>
      <c r="V12" s="207">
        <f t="shared" si="1"/>
        <v>699094.18758700008</v>
      </c>
      <c r="W12" s="207">
        <f t="shared" si="1"/>
        <v>847200.87518300011</v>
      </c>
      <c r="X12" s="207">
        <f t="shared" si="1"/>
        <v>2070181.3740939985</v>
      </c>
      <c r="Y12" s="207">
        <f t="shared" si="1"/>
        <v>2564970.9527529986</v>
      </c>
      <c r="Z12" s="207">
        <f t="shared" si="1"/>
        <v>461969.19640100002</v>
      </c>
      <c r="AA12" s="207">
        <f t="shared" si="1"/>
        <v>538028.56810199993</v>
      </c>
      <c r="AB12" s="207">
        <f t="shared" si="1"/>
        <v>27568.056062</v>
      </c>
      <c r="AC12" s="207">
        <f t="shared" si="1"/>
        <v>1537405.1321880003</v>
      </c>
      <c r="AD12" s="359">
        <f>Y12/T12</f>
        <v>0.61662763468009985</v>
      </c>
      <c r="AE12" s="359">
        <f>Z12/U12</f>
        <v>0.85045999923996063</v>
      </c>
      <c r="AF12" s="359">
        <f>AA12/V12</f>
        <v>0.76960812670902656</v>
      </c>
      <c r="AG12" s="359">
        <f>AB12/W12</f>
        <v>3.2540164758499746E-2</v>
      </c>
      <c r="AH12" s="359">
        <f>AC12/X12</f>
        <v>0.74264272272318932</v>
      </c>
      <c r="AI12" s="360"/>
    </row>
    <row r="13" spans="1:35">
      <c r="A13" s="334">
        <v>1</v>
      </c>
      <c r="B13" s="335" t="str">
        <f>'[1]HPN+HND+Mtuy+BDT+DVVlam'!$C$30</f>
        <v>Ban Dân tộc</v>
      </c>
      <c r="C13" s="347"/>
      <c r="D13" s="347"/>
      <c r="E13" s="369"/>
      <c r="F13" s="369"/>
      <c r="G13" s="113"/>
      <c r="H13" s="113"/>
      <c r="I13" s="113"/>
      <c r="J13" s="113"/>
      <c r="K13" s="113"/>
      <c r="L13" s="113"/>
      <c r="M13" s="345"/>
      <c r="N13" s="345"/>
      <c r="O13" s="113"/>
      <c r="P13" s="113"/>
      <c r="Q13" s="113"/>
      <c r="R13" s="113"/>
      <c r="S13" s="113"/>
      <c r="T13" s="113"/>
      <c r="U13" s="113"/>
      <c r="V13" s="113"/>
      <c r="W13" s="113"/>
      <c r="X13" s="113"/>
      <c r="Y13" s="113"/>
      <c r="Z13" s="113"/>
      <c r="AA13" s="113"/>
      <c r="AB13" s="113"/>
      <c r="AC13" s="113"/>
      <c r="AD13" s="348"/>
      <c r="AE13" s="348"/>
      <c r="AF13" s="348"/>
      <c r="AG13" s="348"/>
      <c r="AH13" s="348"/>
    </row>
    <row r="14" spans="1:35" ht="31.5">
      <c r="A14" s="347" t="s">
        <v>23</v>
      </c>
      <c r="B14" s="336" t="str">
        <f>'[1]HPN+HND+Mtuy+BDT+DVVlam'!$B$30</f>
        <v>Cải tạo, sửa chữa nhà làm việc Ban Dân tộc tỉnh Quảng Nam</v>
      </c>
      <c r="C14" s="347" t="s">
        <v>213</v>
      </c>
      <c r="D14" s="347"/>
      <c r="E14" s="369" t="s">
        <v>214</v>
      </c>
      <c r="F14" s="369" t="s">
        <v>215</v>
      </c>
      <c r="G14" s="113">
        <v>1738.509</v>
      </c>
      <c r="H14" s="113"/>
      <c r="I14" s="113"/>
      <c r="J14" s="113"/>
      <c r="K14" s="113">
        <v>1738.509</v>
      </c>
      <c r="L14" s="113">
        <v>1155.6980000000001</v>
      </c>
      <c r="M14" s="113"/>
      <c r="N14" s="113"/>
      <c r="O14" s="113">
        <v>1155.6980000000001</v>
      </c>
      <c r="P14" s="113">
        <v>1700</v>
      </c>
      <c r="Q14" s="113"/>
      <c r="R14" s="113"/>
      <c r="S14" s="113">
        <v>1700</v>
      </c>
      <c r="T14" s="113">
        <v>1700</v>
      </c>
      <c r="U14" s="113"/>
      <c r="V14" s="113"/>
      <c r="W14" s="113"/>
      <c r="X14" s="113">
        <v>1700</v>
      </c>
      <c r="Y14" s="113">
        <f>'[2]TH 2017'!$N$424</f>
        <v>905.69881999999996</v>
      </c>
      <c r="Z14" s="113"/>
      <c r="AA14" s="113"/>
      <c r="AB14" s="113"/>
      <c r="AC14" s="113">
        <v>905.69881999999996</v>
      </c>
      <c r="AD14" s="348">
        <f t="shared" ref="AD14:AE75" si="2">Y14/T14</f>
        <v>0.53276401176470589</v>
      </c>
      <c r="AE14" s="348"/>
      <c r="AF14" s="348"/>
      <c r="AG14" s="348"/>
      <c r="AH14" s="348">
        <f>AC14/X14</f>
        <v>0.53276401176470589</v>
      </c>
    </row>
    <row r="15" spans="1:35" ht="47.25">
      <c r="A15" s="347" t="s">
        <v>23</v>
      </c>
      <c r="B15" s="337" t="s">
        <v>216</v>
      </c>
      <c r="C15" s="347" t="s">
        <v>217</v>
      </c>
      <c r="D15" s="347"/>
      <c r="E15" s="369" t="s">
        <v>218</v>
      </c>
      <c r="F15" s="369" t="s">
        <v>219</v>
      </c>
      <c r="G15" s="113">
        <v>1803.558</v>
      </c>
      <c r="H15" s="113"/>
      <c r="I15" s="113"/>
      <c r="J15" s="113"/>
      <c r="K15" s="113">
        <v>1803.558</v>
      </c>
      <c r="L15" s="113">
        <v>700</v>
      </c>
      <c r="M15" s="113"/>
      <c r="N15" s="113"/>
      <c r="O15" s="113">
        <v>700</v>
      </c>
      <c r="P15" s="113">
        <v>700</v>
      </c>
      <c r="Q15" s="113"/>
      <c r="R15" s="113"/>
      <c r="S15" s="113">
        <v>700</v>
      </c>
      <c r="T15" s="113">
        <v>456.31</v>
      </c>
      <c r="U15" s="113"/>
      <c r="V15" s="113"/>
      <c r="W15" s="113"/>
      <c r="X15" s="113">
        <v>456.31</v>
      </c>
      <c r="Y15" s="113">
        <v>421.97199999999998</v>
      </c>
      <c r="Z15" s="113"/>
      <c r="AA15" s="113"/>
      <c r="AB15" s="113"/>
      <c r="AC15" s="113">
        <v>421.97199999999998</v>
      </c>
      <c r="AD15" s="348">
        <f t="shared" si="2"/>
        <v>0.92474852622120918</v>
      </c>
      <c r="AE15" s="348"/>
      <c r="AF15" s="348"/>
      <c r="AG15" s="348"/>
      <c r="AH15" s="348">
        <f>AC15/X15</f>
        <v>0.92474852622120918</v>
      </c>
    </row>
    <row r="16" spans="1:35" ht="31.5">
      <c r="A16" s="334">
        <v>2</v>
      </c>
      <c r="B16" s="335" t="s">
        <v>128</v>
      </c>
      <c r="C16" s="347"/>
      <c r="D16" s="347"/>
      <c r="E16" s="369"/>
      <c r="F16" s="369"/>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348"/>
      <c r="AE16" s="348"/>
      <c r="AF16" s="348"/>
      <c r="AG16" s="348"/>
      <c r="AH16" s="348"/>
    </row>
    <row r="17" spans="1:34" ht="31.5">
      <c r="A17" s="347" t="s">
        <v>23</v>
      </c>
      <c r="B17" s="337" t="str">
        <f>'[2]TH 2017'!$B$134</f>
        <v>Sửa chữa, cải tạo trụ sở làm việc Hội Người cao tuổi tỉnh Quảng Nam</v>
      </c>
      <c r="C17" s="347" t="s">
        <v>213</v>
      </c>
      <c r="D17" s="347"/>
      <c r="E17" s="369"/>
      <c r="F17" s="369" t="s">
        <v>220</v>
      </c>
      <c r="G17" s="113">
        <v>1656</v>
      </c>
      <c r="H17" s="113"/>
      <c r="I17" s="113"/>
      <c r="J17" s="113"/>
      <c r="K17" s="113">
        <v>1656</v>
      </c>
      <c r="L17" s="113">
        <v>1517.421</v>
      </c>
      <c r="M17" s="113"/>
      <c r="N17" s="113"/>
      <c r="O17" s="113"/>
      <c r="P17" s="113">
        <f>1075+442.421</f>
        <v>1517.421</v>
      </c>
      <c r="Q17" s="113"/>
      <c r="R17" s="113"/>
      <c r="S17" s="113"/>
      <c r="T17" s="113">
        <f>100+342.421</f>
        <v>442.42099999999999</v>
      </c>
      <c r="U17" s="113"/>
      <c r="V17" s="113"/>
      <c r="W17" s="113"/>
      <c r="X17" s="113">
        <f>100+342.421</f>
        <v>442.42099999999999</v>
      </c>
      <c r="Y17" s="113">
        <f>100+342.421</f>
        <v>442.42099999999999</v>
      </c>
      <c r="Z17" s="113"/>
      <c r="AA17" s="113"/>
      <c r="AB17" s="113"/>
      <c r="AC17" s="113">
        <v>442.42099999999999</v>
      </c>
      <c r="AD17" s="348">
        <f t="shared" si="2"/>
        <v>1</v>
      </c>
      <c r="AE17" s="348"/>
      <c r="AF17" s="348"/>
      <c r="AG17" s="348"/>
      <c r="AH17" s="348">
        <f>AC17/X17</f>
        <v>1</v>
      </c>
    </row>
    <row r="18" spans="1:34">
      <c r="A18" s="334">
        <v>3</v>
      </c>
      <c r="B18" s="335" t="s">
        <v>221</v>
      </c>
      <c r="C18" s="347"/>
      <c r="D18" s="347"/>
      <c r="E18" s="369"/>
      <c r="F18" s="369"/>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348"/>
      <c r="AE18" s="348"/>
      <c r="AF18" s="348"/>
      <c r="AG18" s="348"/>
      <c r="AH18" s="348"/>
    </row>
    <row r="19" spans="1:34" ht="31.5">
      <c r="A19" s="347" t="s">
        <v>23</v>
      </c>
      <c r="B19" s="337" t="s">
        <v>222</v>
      </c>
      <c r="C19" s="347" t="s">
        <v>213</v>
      </c>
      <c r="D19" s="347"/>
      <c r="E19" s="369" t="s">
        <v>223</v>
      </c>
      <c r="F19" s="369" t="s">
        <v>224</v>
      </c>
      <c r="G19" s="113">
        <v>411211</v>
      </c>
      <c r="H19" s="113"/>
      <c r="I19" s="113">
        <v>250000</v>
      </c>
      <c r="J19" s="113"/>
      <c r="K19" s="113">
        <v>161211</v>
      </c>
      <c r="L19" s="113">
        <v>394604</v>
      </c>
      <c r="M19" s="113"/>
      <c r="N19" s="113">
        <v>250000</v>
      </c>
      <c r="O19" s="113">
        <v>144604</v>
      </c>
      <c r="P19" s="113">
        <v>388492</v>
      </c>
      <c r="Q19" s="113"/>
      <c r="R19" s="113">
        <v>250000</v>
      </c>
      <c r="S19" s="113">
        <v>138492</v>
      </c>
      <c r="T19" s="113">
        <f>908.709+274.848</f>
        <v>1183.557</v>
      </c>
      <c r="U19" s="113"/>
      <c r="V19" s="113">
        <v>908.70899999999995</v>
      </c>
      <c r="W19" s="113"/>
      <c r="X19" s="113">
        <v>274.84800000000001</v>
      </c>
      <c r="Y19" s="113">
        <v>430</v>
      </c>
      <c r="Z19" s="113"/>
      <c r="AA19" s="113">
        <v>430</v>
      </c>
      <c r="AB19" s="113"/>
      <c r="AC19" s="113"/>
      <c r="AD19" s="348">
        <f t="shared" si="2"/>
        <v>0.36331161067865764</v>
      </c>
      <c r="AE19" s="348"/>
      <c r="AF19" s="348">
        <f t="shared" ref="AF19:AF75" si="3">AA19/V19</f>
        <v>0.47319879081202015</v>
      </c>
      <c r="AG19" s="348"/>
      <c r="AH19" s="348">
        <f>AC19/X19</f>
        <v>0</v>
      </c>
    </row>
    <row r="20" spans="1:34" ht="31.5">
      <c r="A20" s="347" t="s">
        <v>23</v>
      </c>
      <c r="B20" s="337" t="s">
        <v>225</v>
      </c>
      <c r="C20" s="347" t="s">
        <v>213</v>
      </c>
      <c r="D20" s="347"/>
      <c r="E20" s="369" t="s">
        <v>226</v>
      </c>
      <c r="F20" s="369" t="s">
        <v>227</v>
      </c>
      <c r="G20" s="113">
        <v>526839</v>
      </c>
      <c r="H20" s="113">
        <v>371663</v>
      </c>
      <c r="I20" s="113">
        <v>108623</v>
      </c>
      <c r="J20" s="113"/>
      <c r="K20" s="113">
        <v>46553</v>
      </c>
      <c r="L20" s="113">
        <v>411109</v>
      </c>
      <c r="M20" s="113">
        <v>360182</v>
      </c>
      <c r="N20" s="113">
        <v>40750</v>
      </c>
      <c r="O20" s="113">
        <v>10178</v>
      </c>
      <c r="P20" s="113">
        <v>407943</v>
      </c>
      <c r="Q20" s="113">
        <v>360194</v>
      </c>
      <c r="R20" s="113">
        <v>40750</v>
      </c>
      <c r="S20" s="113">
        <v>7000</v>
      </c>
      <c r="T20" s="113">
        <v>144093.01281799999</v>
      </c>
      <c r="U20" s="113">
        <v>139040</v>
      </c>
      <c r="V20" s="113">
        <v>219</v>
      </c>
      <c r="W20" s="113"/>
      <c r="X20" s="113">
        <f>T20-U20-V20</f>
        <v>4834.0128179999883</v>
      </c>
      <c r="Y20" s="113">
        <f>SUM(Z20:AC20)</f>
        <v>142283.668638</v>
      </c>
      <c r="Z20" s="113">
        <v>139028.03760499999</v>
      </c>
      <c r="AA20" s="113">
        <v>219</v>
      </c>
      <c r="AB20" s="113"/>
      <c r="AC20" s="113">
        <v>3036.6310330000001</v>
      </c>
      <c r="AD20" s="348">
        <f t="shared" si="2"/>
        <v>0.98744322056555711</v>
      </c>
      <c r="AE20" s="348">
        <f t="shared" si="2"/>
        <v>0.99991396436277324</v>
      </c>
      <c r="AF20" s="348">
        <f t="shared" si="3"/>
        <v>1</v>
      </c>
      <c r="AG20" s="348"/>
      <c r="AH20" s="348">
        <f>AC20/X20</f>
        <v>0.6281801781105677</v>
      </c>
    </row>
    <row r="21" spans="1:34" ht="31.5">
      <c r="A21" s="347" t="s">
        <v>23</v>
      </c>
      <c r="B21" s="337" t="s">
        <v>228</v>
      </c>
      <c r="C21" s="347" t="s">
        <v>213</v>
      </c>
      <c r="D21" s="347"/>
      <c r="E21" s="369" t="s">
        <v>229</v>
      </c>
      <c r="F21" s="369" t="s">
        <v>230</v>
      </c>
      <c r="G21" s="113">
        <v>257408</v>
      </c>
      <c r="H21" s="113"/>
      <c r="I21" s="113">
        <v>195676</v>
      </c>
      <c r="J21" s="113"/>
      <c r="K21" s="113">
        <v>61732</v>
      </c>
      <c r="L21" s="113">
        <v>200260</v>
      </c>
      <c r="M21" s="113"/>
      <c r="N21" s="113">
        <v>159308</v>
      </c>
      <c r="O21" s="113">
        <v>40952</v>
      </c>
      <c r="P21" s="113">
        <v>200260</v>
      </c>
      <c r="Q21" s="113"/>
      <c r="R21" s="113">
        <v>159308</v>
      </c>
      <c r="S21" s="113">
        <v>40952</v>
      </c>
      <c r="T21" s="113">
        <v>13308.227000000001</v>
      </c>
      <c r="U21" s="113"/>
      <c r="V21" s="113">
        <v>13308.227000000001</v>
      </c>
      <c r="W21" s="113"/>
      <c r="X21" s="113"/>
      <c r="Y21" s="113">
        <f>SUM(Z21:AC21)</f>
        <v>12782.813</v>
      </c>
      <c r="Z21" s="113"/>
      <c r="AA21" s="113">
        <v>12782.813</v>
      </c>
      <c r="AB21" s="113"/>
      <c r="AC21" s="113"/>
      <c r="AD21" s="348">
        <f t="shared" si="2"/>
        <v>0.96051960941153158</v>
      </c>
      <c r="AE21" s="348"/>
      <c r="AF21" s="348">
        <f t="shared" si="3"/>
        <v>0.96051960941153158</v>
      </c>
      <c r="AG21" s="348"/>
      <c r="AH21" s="348"/>
    </row>
    <row r="22" spans="1:34" ht="63">
      <c r="A22" s="347" t="s">
        <v>23</v>
      </c>
      <c r="B22" s="337" t="s">
        <v>231</v>
      </c>
      <c r="C22" s="347" t="s">
        <v>232</v>
      </c>
      <c r="D22" s="347"/>
      <c r="E22" s="369" t="s">
        <v>226</v>
      </c>
      <c r="F22" s="369" t="s">
        <v>233</v>
      </c>
      <c r="G22" s="113">
        <v>997956</v>
      </c>
      <c r="H22" s="113"/>
      <c r="I22" s="113">
        <v>170000</v>
      </c>
      <c r="J22" s="113"/>
      <c r="K22" s="113">
        <v>827956</v>
      </c>
      <c r="L22" s="113">
        <v>549793</v>
      </c>
      <c r="M22" s="113"/>
      <c r="N22" s="113">
        <v>133000</v>
      </c>
      <c r="O22" s="113">
        <v>416793</v>
      </c>
      <c r="P22" s="113">
        <v>479355</v>
      </c>
      <c r="Q22" s="113"/>
      <c r="R22" s="113">
        <v>133000</v>
      </c>
      <c r="S22" s="113">
        <v>346355</v>
      </c>
      <c r="T22" s="113">
        <v>104247.67999999999</v>
      </c>
      <c r="U22" s="113"/>
      <c r="V22" s="113">
        <v>98</v>
      </c>
      <c r="W22" s="113"/>
      <c r="X22" s="113">
        <f>T22-V22</f>
        <v>104149.68</v>
      </c>
      <c r="Y22" s="113">
        <f>AA22+AC22</f>
        <v>100582.901</v>
      </c>
      <c r="Z22" s="113"/>
      <c r="AA22" s="113">
        <v>98</v>
      </c>
      <c r="AB22" s="113"/>
      <c r="AC22" s="113">
        <v>100484.901</v>
      </c>
      <c r="AD22" s="348">
        <f t="shared" si="2"/>
        <v>0.96484546226832102</v>
      </c>
      <c r="AE22" s="348"/>
      <c r="AF22" s="348">
        <f t="shared" si="3"/>
        <v>1</v>
      </c>
      <c r="AG22" s="348"/>
      <c r="AH22" s="348">
        <f t="shared" ref="AH22:AH50" si="4">AC22/X22</f>
        <v>0.96481238348499976</v>
      </c>
    </row>
    <row r="23" spans="1:34" ht="63">
      <c r="A23" s="347" t="s">
        <v>23</v>
      </c>
      <c r="B23" s="337" t="s">
        <v>234</v>
      </c>
      <c r="C23" s="347" t="s">
        <v>235</v>
      </c>
      <c r="D23" s="347"/>
      <c r="E23" s="369" t="s">
        <v>236</v>
      </c>
      <c r="F23" s="369" t="s">
        <v>237</v>
      </c>
      <c r="G23" s="113">
        <v>34832</v>
      </c>
      <c r="H23" s="113"/>
      <c r="I23" s="113"/>
      <c r="J23" s="113"/>
      <c r="K23" s="113">
        <v>34832</v>
      </c>
      <c r="L23" s="113">
        <v>20787</v>
      </c>
      <c r="M23" s="113"/>
      <c r="N23" s="113"/>
      <c r="O23" s="113">
        <v>20787</v>
      </c>
      <c r="P23" s="113">
        <v>20787</v>
      </c>
      <c r="Q23" s="113"/>
      <c r="R23" s="113"/>
      <c r="S23" s="113">
        <v>20787</v>
      </c>
      <c r="T23" s="113">
        <v>1301.5509999999999</v>
      </c>
      <c r="U23" s="113"/>
      <c r="V23" s="113"/>
      <c r="W23" s="113"/>
      <c r="X23" s="113">
        <v>1301.5509999999999</v>
      </c>
      <c r="Y23" s="113">
        <v>714.097938</v>
      </c>
      <c r="Z23" s="113"/>
      <c r="AA23" s="113"/>
      <c r="AB23" s="113"/>
      <c r="AC23" s="113">
        <v>714.097938</v>
      </c>
      <c r="AD23" s="348">
        <f t="shared" si="2"/>
        <v>0.54865152268332174</v>
      </c>
      <c r="AE23" s="348"/>
      <c r="AF23" s="348"/>
      <c r="AG23" s="348"/>
      <c r="AH23" s="348">
        <f t="shared" si="4"/>
        <v>0.54865152268332174</v>
      </c>
    </row>
    <row r="24" spans="1:34" ht="47.25">
      <c r="A24" s="347" t="s">
        <v>23</v>
      </c>
      <c r="B24" s="337" t="s">
        <v>238</v>
      </c>
      <c r="C24" s="347" t="s">
        <v>213</v>
      </c>
      <c r="D24" s="347"/>
      <c r="E24" s="369" t="s">
        <v>239</v>
      </c>
      <c r="F24" s="369" t="s">
        <v>240</v>
      </c>
      <c r="G24" s="113">
        <v>11478</v>
      </c>
      <c r="H24" s="113"/>
      <c r="I24" s="113"/>
      <c r="J24" s="113"/>
      <c r="K24" s="113">
        <v>11478</v>
      </c>
      <c r="L24" s="113">
        <v>11052</v>
      </c>
      <c r="M24" s="113"/>
      <c r="N24" s="113"/>
      <c r="O24" s="113">
        <v>11052</v>
      </c>
      <c r="P24" s="113">
        <v>11011</v>
      </c>
      <c r="Q24" s="113"/>
      <c r="R24" s="113"/>
      <c r="S24" s="113">
        <v>11011</v>
      </c>
      <c r="T24" s="113">
        <v>982.78200000000004</v>
      </c>
      <c r="U24" s="113"/>
      <c r="V24" s="113"/>
      <c r="W24" s="113"/>
      <c r="X24" s="113">
        <v>982.78200000000004</v>
      </c>
      <c r="Y24" s="113">
        <v>934.19100000000003</v>
      </c>
      <c r="Z24" s="113"/>
      <c r="AA24" s="113"/>
      <c r="AB24" s="113"/>
      <c r="AC24" s="113">
        <v>934.19100000000003</v>
      </c>
      <c r="AD24" s="348">
        <f t="shared" si="2"/>
        <v>0.95055770252202421</v>
      </c>
      <c r="AE24" s="348"/>
      <c r="AF24" s="348"/>
      <c r="AG24" s="348"/>
      <c r="AH24" s="348">
        <f t="shared" si="4"/>
        <v>0.95055770252202421</v>
      </c>
    </row>
    <row r="25" spans="1:34" ht="63">
      <c r="A25" s="347" t="s">
        <v>23</v>
      </c>
      <c r="B25" s="337" t="s">
        <v>241</v>
      </c>
      <c r="C25" s="347" t="s">
        <v>242</v>
      </c>
      <c r="D25" s="347"/>
      <c r="E25" s="369" t="s">
        <v>239</v>
      </c>
      <c r="F25" s="369" t="s">
        <v>243</v>
      </c>
      <c r="G25" s="113">
        <v>823270</v>
      </c>
      <c r="H25" s="113"/>
      <c r="I25" s="113">
        <v>500000</v>
      </c>
      <c r="J25" s="113"/>
      <c r="K25" s="113">
        <v>323270</v>
      </c>
      <c r="L25" s="113">
        <v>430655</v>
      </c>
      <c r="M25" s="113"/>
      <c r="N25" s="113">
        <v>159032</v>
      </c>
      <c r="O25" s="113">
        <v>271623</v>
      </c>
      <c r="P25" s="113">
        <v>393125</v>
      </c>
      <c r="Q25" s="113"/>
      <c r="R25" s="113">
        <v>159032</v>
      </c>
      <c r="S25" s="113">
        <v>234093</v>
      </c>
      <c r="T25" s="113">
        <v>53718.864000000001</v>
      </c>
      <c r="U25" s="113"/>
      <c r="V25" s="113">
        <v>50139</v>
      </c>
      <c r="W25" s="113"/>
      <c r="X25" s="113">
        <f>T25-V25</f>
        <v>3579.8640000000014</v>
      </c>
      <c r="Y25" s="113">
        <v>52158.864000000001</v>
      </c>
      <c r="Z25" s="113"/>
      <c r="AA25" s="113">
        <v>50139</v>
      </c>
      <c r="AB25" s="113"/>
      <c r="AC25" s="113">
        <v>2019.8640000000014</v>
      </c>
      <c r="AD25" s="348">
        <f t="shared" si="2"/>
        <v>0.97095992201175363</v>
      </c>
      <c r="AE25" s="348"/>
      <c r="AF25" s="348">
        <f t="shared" si="3"/>
        <v>1</v>
      </c>
      <c r="AG25" s="348"/>
      <c r="AH25" s="348">
        <f t="shared" si="4"/>
        <v>0.56422925563652715</v>
      </c>
    </row>
    <row r="26" spans="1:34" ht="31.5">
      <c r="A26" s="347" t="s">
        <v>23</v>
      </c>
      <c r="B26" s="337" t="s">
        <v>244</v>
      </c>
      <c r="C26" s="347" t="s">
        <v>213</v>
      </c>
      <c r="D26" s="347"/>
      <c r="E26" s="369" t="s">
        <v>245</v>
      </c>
      <c r="F26" s="369" t="s">
        <v>246</v>
      </c>
      <c r="G26" s="113">
        <v>101624</v>
      </c>
      <c r="H26" s="113"/>
      <c r="I26" s="113">
        <v>8000</v>
      </c>
      <c r="J26" s="113"/>
      <c r="K26" s="113">
        <v>93624</v>
      </c>
      <c r="L26" s="113">
        <v>61738</v>
      </c>
      <c r="M26" s="113"/>
      <c r="N26" s="113">
        <v>8000</v>
      </c>
      <c r="O26" s="113">
        <v>53738</v>
      </c>
      <c r="P26" s="113">
        <v>50500</v>
      </c>
      <c r="Q26" s="113"/>
      <c r="R26" s="113"/>
      <c r="S26" s="113">
        <v>50500</v>
      </c>
      <c r="T26" s="113">
        <v>2110</v>
      </c>
      <c r="U26" s="113"/>
      <c r="V26" s="113"/>
      <c r="W26" s="113"/>
      <c r="X26" s="113">
        <v>2110</v>
      </c>
      <c r="Y26" s="113">
        <v>2110</v>
      </c>
      <c r="Z26" s="113"/>
      <c r="AA26" s="113"/>
      <c r="AB26" s="113"/>
      <c r="AC26" s="113">
        <v>2110</v>
      </c>
      <c r="AD26" s="348">
        <f t="shared" si="2"/>
        <v>1</v>
      </c>
      <c r="AE26" s="348"/>
      <c r="AF26" s="348"/>
      <c r="AG26" s="348"/>
      <c r="AH26" s="348">
        <f t="shared" si="4"/>
        <v>1</v>
      </c>
    </row>
    <row r="27" spans="1:34" ht="31.5">
      <c r="A27" s="347" t="s">
        <v>23</v>
      </c>
      <c r="B27" s="337" t="s">
        <v>247</v>
      </c>
      <c r="C27" s="347" t="s">
        <v>213</v>
      </c>
      <c r="D27" s="347"/>
      <c r="E27" s="369" t="s">
        <v>248</v>
      </c>
      <c r="F27" s="369" t="s">
        <v>249</v>
      </c>
      <c r="G27" s="113">
        <v>174038</v>
      </c>
      <c r="H27" s="113"/>
      <c r="I27" s="113"/>
      <c r="J27" s="113"/>
      <c r="K27" s="113">
        <v>174038</v>
      </c>
      <c r="L27" s="113">
        <v>115592</v>
      </c>
      <c r="M27" s="113"/>
      <c r="N27" s="113"/>
      <c r="O27" s="113">
        <v>115592</v>
      </c>
      <c r="P27" s="113">
        <v>166131</v>
      </c>
      <c r="Q27" s="113"/>
      <c r="R27" s="113"/>
      <c r="S27" s="113">
        <v>166131</v>
      </c>
      <c r="T27" s="113">
        <v>7231.076</v>
      </c>
      <c r="U27" s="113"/>
      <c r="V27" s="113"/>
      <c r="W27" s="113"/>
      <c r="X27" s="113">
        <v>7231.076</v>
      </c>
      <c r="Y27" s="113">
        <v>6450.9589999999998</v>
      </c>
      <c r="Z27" s="113"/>
      <c r="AA27" s="113"/>
      <c r="AB27" s="113"/>
      <c r="AC27" s="113">
        <v>6450.9589999999998</v>
      </c>
      <c r="AD27" s="348">
        <f t="shared" si="2"/>
        <v>0.89211605575712383</v>
      </c>
      <c r="AE27" s="348"/>
      <c r="AF27" s="348"/>
      <c r="AG27" s="348"/>
      <c r="AH27" s="348">
        <f t="shared" si="4"/>
        <v>0.89211605575712383</v>
      </c>
    </row>
    <row r="28" spans="1:34" ht="47.25">
      <c r="A28" s="347" t="s">
        <v>23</v>
      </c>
      <c r="B28" s="337" t="s">
        <v>250</v>
      </c>
      <c r="C28" s="347" t="s">
        <v>251</v>
      </c>
      <c r="D28" s="347"/>
      <c r="E28" s="369" t="s">
        <v>245</v>
      </c>
      <c r="F28" s="369" t="s">
        <v>252</v>
      </c>
      <c r="G28" s="113">
        <v>100800</v>
      </c>
      <c r="H28" s="113"/>
      <c r="I28" s="113"/>
      <c r="J28" s="113"/>
      <c r="K28" s="113">
        <v>100800</v>
      </c>
      <c r="L28" s="113">
        <v>65572</v>
      </c>
      <c r="M28" s="113"/>
      <c r="N28" s="113"/>
      <c r="O28" s="113">
        <v>65572</v>
      </c>
      <c r="P28" s="113">
        <v>65572</v>
      </c>
      <c r="Q28" s="113"/>
      <c r="R28" s="113"/>
      <c r="S28" s="113">
        <v>65572</v>
      </c>
      <c r="T28" s="113">
        <v>6322.0251129999997</v>
      </c>
      <c r="U28" s="113"/>
      <c r="V28" s="113"/>
      <c r="W28" s="113"/>
      <c r="X28" s="113">
        <v>6322.0251129999997</v>
      </c>
      <c r="Y28" s="113">
        <v>6121.68</v>
      </c>
      <c r="Z28" s="113"/>
      <c r="AA28" s="113"/>
      <c r="AB28" s="113"/>
      <c r="AC28" s="113">
        <v>6121.68</v>
      </c>
      <c r="AD28" s="348">
        <f t="shared" si="2"/>
        <v>0.96830997830299204</v>
      </c>
      <c r="AE28" s="348"/>
      <c r="AF28" s="348"/>
      <c r="AG28" s="348"/>
      <c r="AH28" s="348">
        <f t="shared" si="4"/>
        <v>0.96830997830299204</v>
      </c>
    </row>
    <row r="29" spans="1:34" ht="63">
      <c r="A29" s="347" t="s">
        <v>23</v>
      </c>
      <c r="B29" s="337" t="s">
        <v>253</v>
      </c>
      <c r="C29" s="347" t="s">
        <v>213</v>
      </c>
      <c r="D29" s="347"/>
      <c r="E29" s="369" t="s">
        <v>254</v>
      </c>
      <c r="F29" s="369" t="s">
        <v>255</v>
      </c>
      <c r="G29" s="113">
        <v>1108682</v>
      </c>
      <c r="H29" s="113">
        <v>668208</v>
      </c>
      <c r="I29" s="113">
        <v>207495</v>
      </c>
      <c r="J29" s="113"/>
      <c r="K29" s="113">
        <v>232979</v>
      </c>
      <c r="L29" s="113">
        <v>323248</v>
      </c>
      <c r="M29" s="113">
        <v>268863</v>
      </c>
      <c r="N29" s="113">
        <v>22420</v>
      </c>
      <c r="O29" s="113">
        <v>31965</v>
      </c>
      <c r="P29" s="113">
        <v>308098</v>
      </c>
      <c r="Q29" s="113">
        <v>253857</v>
      </c>
      <c r="R29" s="113">
        <v>22420</v>
      </c>
      <c r="S29" s="113">
        <v>31821</v>
      </c>
      <c r="T29" s="113">
        <v>251128.258245</v>
      </c>
      <c r="U29" s="113">
        <v>212580.50544499999</v>
      </c>
      <c r="V29" s="113">
        <v>4420</v>
      </c>
      <c r="W29" s="113"/>
      <c r="X29" s="113">
        <f>T29-U29-V29</f>
        <v>34127.752800000017</v>
      </c>
      <c r="Y29" s="113">
        <v>243521.770059</v>
      </c>
      <c r="Z29" s="113">
        <v>207644.441915</v>
      </c>
      <c r="AA29" s="113">
        <v>3831.8577439999999</v>
      </c>
      <c r="AB29" s="113"/>
      <c r="AC29" s="113">
        <v>32045.470399999998</v>
      </c>
      <c r="AD29" s="348">
        <f t="shared" si="2"/>
        <v>0.96971074366876253</v>
      </c>
      <c r="AE29" s="348">
        <f t="shared" si="2"/>
        <v>0.9767802625190527</v>
      </c>
      <c r="AF29" s="348">
        <f t="shared" si="3"/>
        <v>0.86693614117647055</v>
      </c>
      <c r="AG29" s="348"/>
      <c r="AH29" s="348">
        <f t="shared" si="4"/>
        <v>0.93898565744416618</v>
      </c>
    </row>
    <row r="30" spans="1:34" ht="47.25">
      <c r="A30" s="347" t="s">
        <v>23</v>
      </c>
      <c r="B30" s="337" t="s">
        <v>256</v>
      </c>
      <c r="C30" s="347" t="s">
        <v>213</v>
      </c>
      <c r="D30" s="347"/>
      <c r="E30" s="369" t="s">
        <v>239</v>
      </c>
      <c r="F30" s="369" t="s">
        <v>257</v>
      </c>
      <c r="G30" s="113">
        <v>40167</v>
      </c>
      <c r="H30" s="113"/>
      <c r="I30" s="113"/>
      <c r="J30" s="113"/>
      <c r="K30" s="113">
        <v>40167</v>
      </c>
      <c r="L30" s="113">
        <v>39865</v>
      </c>
      <c r="M30" s="113"/>
      <c r="N30" s="113"/>
      <c r="O30" s="113">
        <v>39865</v>
      </c>
      <c r="P30" s="113">
        <v>33673</v>
      </c>
      <c r="Q30" s="113"/>
      <c r="R30" s="113"/>
      <c r="S30" s="113">
        <v>33673</v>
      </c>
      <c r="T30" s="113">
        <v>10383.808199999999</v>
      </c>
      <c r="U30" s="113"/>
      <c r="V30" s="113"/>
      <c r="W30" s="113"/>
      <c r="X30" s="113">
        <v>10383.808199999999</v>
      </c>
      <c r="Y30" s="113">
        <v>7243.8082000000004</v>
      </c>
      <c r="Z30" s="113"/>
      <c r="AA30" s="113"/>
      <c r="AB30" s="113"/>
      <c r="AC30" s="113">
        <v>7243.8082000000004</v>
      </c>
      <c r="AD30" s="348">
        <f t="shared" si="2"/>
        <v>0.69760612488971052</v>
      </c>
      <c r="AE30" s="348"/>
      <c r="AF30" s="348"/>
      <c r="AG30" s="348"/>
      <c r="AH30" s="348">
        <f t="shared" si="4"/>
        <v>0.69760612488971052</v>
      </c>
    </row>
    <row r="31" spans="1:34" ht="47.25">
      <c r="A31" s="347" t="s">
        <v>23</v>
      </c>
      <c r="B31" s="337" t="s">
        <v>258</v>
      </c>
      <c r="C31" s="347" t="s">
        <v>213</v>
      </c>
      <c r="D31" s="347"/>
      <c r="E31" s="369" t="s">
        <v>236</v>
      </c>
      <c r="F31" s="369" t="s">
        <v>259</v>
      </c>
      <c r="G31" s="113">
        <v>23946</v>
      </c>
      <c r="H31" s="113"/>
      <c r="I31" s="113"/>
      <c r="J31" s="113"/>
      <c r="K31" s="113">
        <v>23946</v>
      </c>
      <c r="L31" s="113">
        <v>22610</v>
      </c>
      <c r="M31" s="113"/>
      <c r="N31" s="113"/>
      <c r="O31" s="113">
        <v>22610</v>
      </c>
      <c r="P31" s="113">
        <v>20486</v>
      </c>
      <c r="Q31" s="113"/>
      <c r="R31" s="113"/>
      <c r="S31" s="113">
        <v>20486</v>
      </c>
      <c r="T31" s="113">
        <v>3350</v>
      </c>
      <c r="U31" s="113"/>
      <c r="V31" s="113"/>
      <c r="W31" s="113"/>
      <c r="X31" s="113">
        <v>3350</v>
      </c>
      <c r="Y31" s="113">
        <v>3350</v>
      </c>
      <c r="Z31" s="113"/>
      <c r="AA31" s="113"/>
      <c r="AB31" s="113"/>
      <c r="AC31" s="113">
        <v>3350</v>
      </c>
      <c r="AD31" s="348">
        <f t="shared" si="2"/>
        <v>1</v>
      </c>
      <c r="AE31" s="348"/>
      <c r="AF31" s="348"/>
      <c r="AG31" s="348"/>
      <c r="AH31" s="348">
        <f t="shared" si="4"/>
        <v>1</v>
      </c>
    </row>
    <row r="32" spans="1:34" ht="47.25">
      <c r="A32" s="347" t="s">
        <v>23</v>
      </c>
      <c r="B32" s="337" t="s">
        <v>260</v>
      </c>
      <c r="C32" s="347" t="s">
        <v>261</v>
      </c>
      <c r="D32" s="347"/>
      <c r="E32" s="369" t="s">
        <v>262</v>
      </c>
      <c r="F32" s="369" t="s">
        <v>263</v>
      </c>
      <c r="G32" s="113">
        <v>135380</v>
      </c>
      <c r="H32" s="113"/>
      <c r="I32" s="113">
        <v>104672</v>
      </c>
      <c r="J32" s="113"/>
      <c r="K32" s="113">
        <v>30708</v>
      </c>
      <c r="L32" s="113">
        <v>87211</v>
      </c>
      <c r="M32" s="113"/>
      <c r="N32" s="113">
        <v>68927</v>
      </c>
      <c r="O32" s="113">
        <v>18284</v>
      </c>
      <c r="P32" s="113">
        <v>68927</v>
      </c>
      <c r="Q32" s="113"/>
      <c r="R32" s="113">
        <v>68927</v>
      </c>
      <c r="S32" s="113"/>
      <c r="T32" s="113">
        <v>16309.531000000001</v>
      </c>
      <c r="U32" s="113"/>
      <c r="V32" s="113">
        <v>11109.531000000001</v>
      </c>
      <c r="W32" s="113"/>
      <c r="X32" s="113">
        <f>T32-V32</f>
        <v>5200</v>
      </c>
      <c r="Y32" s="113">
        <v>15213.999</v>
      </c>
      <c r="Z32" s="113"/>
      <c r="AA32" s="113">
        <v>10213.999</v>
      </c>
      <c r="AB32" s="113"/>
      <c r="AC32" s="113">
        <v>5000</v>
      </c>
      <c r="AD32" s="348">
        <f t="shared" si="2"/>
        <v>0.93282872450470822</v>
      </c>
      <c r="AE32" s="348"/>
      <c r="AF32" s="348">
        <f t="shared" si="3"/>
        <v>0.91939065654526719</v>
      </c>
      <c r="AG32" s="348"/>
      <c r="AH32" s="348">
        <f t="shared" si="4"/>
        <v>0.96153846153846156</v>
      </c>
    </row>
    <row r="33" spans="1:34" ht="31.5">
      <c r="A33" s="347" t="s">
        <v>23</v>
      </c>
      <c r="B33" s="337" t="s">
        <v>264</v>
      </c>
      <c r="C33" s="347" t="s">
        <v>265</v>
      </c>
      <c r="D33" s="347"/>
      <c r="E33" s="369" t="s">
        <v>266</v>
      </c>
      <c r="F33" s="369" t="s">
        <v>267</v>
      </c>
      <c r="G33" s="113">
        <v>85998</v>
      </c>
      <c r="H33" s="113"/>
      <c r="I33" s="113"/>
      <c r="J33" s="113"/>
      <c r="K33" s="113">
        <v>85998</v>
      </c>
      <c r="L33" s="113">
        <v>28817</v>
      </c>
      <c r="M33" s="113"/>
      <c r="N33" s="113"/>
      <c r="O33" s="113">
        <v>28817</v>
      </c>
      <c r="P33" s="113">
        <v>31217</v>
      </c>
      <c r="Q33" s="113"/>
      <c r="R33" s="113"/>
      <c r="S33" s="113">
        <v>31217</v>
      </c>
      <c r="T33" s="113">
        <v>13917.123</v>
      </c>
      <c r="U33" s="113"/>
      <c r="V33" s="113"/>
      <c r="W33" s="113"/>
      <c r="X33" s="113">
        <v>13917.123</v>
      </c>
      <c r="Y33" s="113">
        <v>7028.826</v>
      </c>
      <c r="Z33" s="113"/>
      <c r="AA33" s="113"/>
      <c r="AB33" s="113"/>
      <c r="AC33" s="113">
        <v>7028.826</v>
      </c>
      <c r="AD33" s="348">
        <f t="shared" si="2"/>
        <v>0.50504878055615376</v>
      </c>
      <c r="AE33" s="348"/>
      <c r="AF33" s="348"/>
      <c r="AG33" s="348"/>
      <c r="AH33" s="348">
        <f t="shared" si="4"/>
        <v>0.50504878055615376</v>
      </c>
    </row>
    <row r="34" spans="1:34" ht="31.5">
      <c r="A34" s="347" t="s">
        <v>23</v>
      </c>
      <c r="B34" s="337" t="s">
        <v>268</v>
      </c>
      <c r="C34" s="347" t="s">
        <v>213</v>
      </c>
      <c r="D34" s="347"/>
      <c r="E34" s="369">
        <v>2015</v>
      </c>
      <c r="F34" s="369" t="s">
        <v>269</v>
      </c>
      <c r="G34" s="113">
        <v>21050</v>
      </c>
      <c r="H34" s="113"/>
      <c r="I34" s="113"/>
      <c r="J34" s="113"/>
      <c r="K34" s="113">
        <v>21050</v>
      </c>
      <c r="L34" s="113">
        <v>19714</v>
      </c>
      <c r="M34" s="113"/>
      <c r="N34" s="113"/>
      <c r="O34" s="113">
        <v>19714</v>
      </c>
      <c r="P34" s="113">
        <v>19686</v>
      </c>
      <c r="Q34" s="113"/>
      <c r="R34" s="113"/>
      <c r="S34" s="113">
        <v>19686</v>
      </c>
      <c r="T34" s="113">
        <v>1860.7670000000001</v>
      </c>
      <c r="U34" s="113"/>
      <c r="V34" s="113"/>
      <c r="W34" s="113"/>
      <c r="X34" s="113">
        <v>1860.7670000000001</v>
      </c>
      <c r="Y34" s="113">
        <v>1812.2470000000001</v>
      </c>
      <c r="Z34" s="113"/>
      <c r="AA34" s="113"/>
      <c r="AB34" s="113"/>
      <c r="AC34" s="113">
        <v>1812.2470000000001</v>
      </c>
      <c r="AD34" s="348">
        <f t="shared" si="2"/>
        <v>0.97392473103832988</v>
      </c>
      <c r="AE34" s="348"/>
      <c r="AF34" s="348"/>
      <c r="AG34" s="348"/>
      <c r="AH34" s="348">
        <f t="shared" si="4"/>
        <v>0.97392473103832988</v>
      </c>
    </row>
    <row r="35" spans="1:34" ht="47.25">
      <c r="A35" s="347" t="s">
        <v>23</v>
      </c>
      <c r="B35" s="337" t="s">
        <v>270</v>
      </c>
      <c r="C35" s="347" t="s">
        <v>265</v>
      </c>
      <c r="D35" s="347"/>
      <c r="E35" s="369" t="s">
        <v>266</v>
      </c>
      <c r="F35" s="369" t="s">
        <v>271</v>
      </c>
      <c r="G35" s="113">
        <v>135650</v>
      </c>
      <c r="H35" s="113">
        <v>80399</v>
      </c>
      <c r="I35" s="113"/>
      <c r="J35" s="113"/>
      <c r="K35" s="113">
        <v>55251</v>
      </c>
      <c r="L35" s="113">
        <v>65485</v>
      </c>
      <c r="M35" s="113">
        <v>61207</v>
      </c>
      <c r="N35" s="113"/>
      <c r="O35" s="113">
        <v>4278</v>
      </c>
      <c r="P35" s="113">
        <v>80200</v>
      </c>
      <c r="Q35" s="113">
        <v>77600</v>
      </c>
      <c r="R35" s="113"/>
      <c r="S35" s="113">
        <v>2600</v>
      </c>
      <c r="T35" s="113">
        <v>23100</v>
      </c>
      <c r="U35" s="113">
        <v>20000</v>
      </c>
      <c r="V35" s="113"/>
      <c r="W35" s="113"/>
      <c r="X35" s="113">
        <f>T35-U35</f>
        <v>3100</v>
      </c>
      <c r="Y35" s="113">
        <v>6076.4072340000002</v>
      </c>
      <c r="Z35" s="113">
        <v>3606.2099149999999</v>
      </c>
      <c r="AA35" s="113"/>
      <c r="AB35" s="113"/>
      <c r="AC35" s="113">
        <v>2470.1973190000003</v>
      </c>
      <c r="AD35" s="348">
        <f t="shared" si="2"/>
        <v>0.26304793220779221</v>
      </c>
      <c r="AE35" s="348">
        <f t="shared" si="2"/>
        <v>0.18031049574999999</v>
      </c>
      <c r="AF35" s="348"/>
      <c r="AG35" s="348"/>
      <c r="AH35" s="348">
        <f t="shared" si="4"/>
        <v>0.79683784483870979</v>
      </c>
    </row>
    <row r="36" spans="1:34" ht="78.75">
      <c r="A36" s="347" t="s">
        <v>23</v>
      </c>
      <c r="B36" s="337" t="s">
        <v>272</v>
      </c>
      <c r="C36" s="347"/>
      <c r="D36" s="347"/>
      <c r="E36" s="369">
        <v>2016</v>
      </c>
      <c r="F36" s="369" t="s">
        <v>273</v>
      </c>
      <c r="G36" s="113">
        <v>1046</v>
      </c>
      <c r="H36" s="113"/>
      <c r="I36" s="113"/>
      <c r="J36" s="113"/>
      <c r="K36" s="113">
        <v>1046</v>
      </c>
      <c r="L36" s="113">
        <v>1007</v>
      </c>
      <c r="M36" s="113"/>
      <c r="N36" s="113"/>
      <c r="O36" s="113">
        <v>1007</v>
      </c>
      <c r="P36" s="113">
        <v>1006</v>
      </c>
      <c r="Q36" s="113"/>
      <c r="R36" s="113"/>
      <c r="S36" s="113">
        <v>1006</v>
      </c>
      <c r="T36" s="113">
        <v>306</v>
      </c>
      <c r="U36" s="113"/>
      <c r="V36" s="113"/>
      <c r="W36" s="113"/>
      <c r="X36" s="113">
        <v>306</v>
      </c>
      <c r="Y36" s="113">
        <v>288.64299999999997</v>
      </c>
      <c r="Z36" s="113"/>
      <c r="AA36" s="113"/>
      <c r="AB36" s="113"/>
      <c r="AC36" s="113">
        <v>288.64299999999997</v>
      </c>
      <c r="AD36" s="348">
        <f t="shared" si="2"/>
        <v>0.94327777777777766</v>
      </c>
      <c r="AE36" s="348"/>
      <c r="AF36" s="348"/>
      <c r="AG36" s="348"/>
      <c r="AH36" s="348">
        <f t="shared" si="4"/>
        <v>0.94327777777777766</v>
      </c>
    </row>
    <row r="37" spans="1:34" ht="63">
      <c r="A37" s="347" t="s">
        <v>23</v>
      </c>
      <c r="B37" s="337" t="s">
        <v>274</v>
      </c>
      <c r="C37" s="347" t="s">
        <v>275</v>
      </c>
      <c r="D37" s="347"/>
      <c r="E37" s="369" t="s">
        <v>276</v>
      </c>
      <c r="F37" s="369" t="s">
        <v>277</v>
      </c>
      <c r="G37" s="113">
        <v>207827</v>
      </c>
      <c r="H37" s="113"/>
      <c r="I37" s="113">
        <v>50000</v>
      </c>
      <c r="J37" s="113"/>
      <c r="K37" s="113">
        <v>157827</v>
      </c>
      <c r="L37" s="113">
        <v>59153</v>
      </c>
      <c r="M37" s="113"/>
      <c r="N37" s="113">
        <v>9000</v>
      </c>
      <c r="O37" s="113">
        <v>50153</v>
      </c>
      <c r="P37" s="113">
        <v>82768</v>
      </c>
      <c r="Q37" s="113"/>
      <c r="R37" s="113">
        <v>7000</v>
      </c>
      <c r="S37" s="113">
        <v>75768</v>
      </c>
      <c r="T37" s="113">
        <v>71242.119879999998</v>
      </c>
      <c r="U37" s="113"/>
      <c r="V37" s="113">
        <v>7000</v>
      </c>
      <c r="W37" s="113"/>
      <c r="X37" s="113">
        <f>T37-V37</f>
        <v>64242.119879999998</v>
      </c>
      <c r="Y37" s="113">
        <v>44348.139000000003</v>
      </c>
      <c r="Z37" s="113"/>
      <c r="AA37" s="113">
        <v>7000</v>
      </c>
      <c r="AB37" s="113"/>
      <c r="AC37" s="113">
        <v>37348.139000000003</v>
      </c>
      <c r="AD37" s="348">
        <f t="shared" si="2"/>
        <v>0.62249886829167733</v>
      </c>
      <c r="AE37" s="348"/>
      <c r="AF37" s="348">
        <f t="shared" si="3"/>
        <v>1</v>
      </c>
      <c r="AG37" s="348"/>
      <c r="AH37" s="348">
        <f t="shared" si="4"/>
        <v>0.58136529538196813</v>
      </c>
    </row>
    <row r="38" spans="1:34" ht="45">
      <c r="A38" s="347" t="s">
        <v>23</v>
      </c>
      <c r="B38" s="337" t="s">
        <v>278</v>
      </c>
      <c r="C38" s="347" t="s">
        <v>213</v>
      </c>
      <c r="D38" s="347"/>
      <c r="E38" s="369" t="s">
        <v>218</v>
      </c>
      <c r="F38" s="369" t="s">
        <v>279</v>
      </c>
      <c r="G38" s="113">
        <v>19514</v>
      </c>
      <c r="H38" s="113"/>
      <c r="I38" s="113"/>
      <c r="J38" s="113"/>
      <c r="K38" s="113">
        <v>19514</v>
      </c>
      <c r="L38" s="113">
        <v>17894</v>
      </c>
      <c r="M38" s="113"/>
      <c r="N38" s="113"/>
      <c r="O38" s="113">
        <v>17894</v>
      </c>
      <c r="P38" s="113">
        <v>13751</v>
      </c>
      <c r="Q38" s="113"/>
      <c r="R38" s="113"/>
      <c r="S38" s="113">
        <v>13751</v>
      </c>
      <c r="T38" s="113">
        <v>10440.654</v>
      </c>
      <c r="U38" s="113"/>
      <c r="V38" s="113"/>
      <c r="W38" s="113"/>
      <c r="X38" s="113">
        <v>10440.654</v>
      </c>
      <c r="Y38" s="113">
        <v>10198.654</v>
      </c>
      <c r="Z38" s="113"/>
      <c r="AA38" s="113"/>
      <c r="AB38" s="113"/>
      <c r="AC38" s="113">
        <v>10198.654</v>
      </c>
      <c r="AD38" s="348">
        <f t="shared" si="2"/>
        <v>0.97682137536594926</v>
      </c>
      <c r="AE38" s="348"/>
      <c r="AF38" s="348"/>
      <c r="AG38" s="348"/>
      <c r="AH38" s="348">
        <f t="shared" si="4"/>
        <v>0.97682137536594926</v>
      </c>
    </row>
    <row r="39" spans="1:34" ht="31.5">
      <c r="A39" s="347" t="s">
        <v>23</v>
      </c>
      <c r="B39" s="337" t="s">
        <v>280</v>
      </c>
      <c r="C39" s="347" t="s">
        <v>213</v>
      </c>
      <c r="D39" s="347"/>
      <c r="E39" s="369" t="s">
        <v>281</v>
      </c>
      <c r="F39" s="369" t="s">
        <v>282</v>
      </c>
      <c r="G39" s="113">
        <v>29878</v>
      </c>
      <c r="H39" s="113"/>
      <c r="I39" s="113"/>
      <c r="J39" s="113"/>
      <c r="K39" s="113">
        <v>29878</v>
      </c>
      <c r="L39" s="113">
        <v>27957</v>
      </c>
      <c r="M39" s="113"/>
      <c r="N39" s="113"/>
      <c r="O39" s="113">
        <v>27957</v>
      </c>
      <c r="P39" s="113">
        <v>22662</v>
      </c>
      <c r="Q39" s="113"/>
      <c r="R39" s="113"/>
      <c r="S39" s="113">
        <v>22662</v>
      </c>
      <c r="T39" s="113">
        <v>22661.705069</v>
      </c>
      <c r="U39" s="113"/>
      <c r="V39" s="113"/>
      <c r="W39" s="113"/>
      <c r="X39" s="113">
        <v>22661.705069</v>
      </c>
      <c r="Y39" s="113">
        <v>22261.705069</v>
      </c>
      <c r="Z39" s="113"/>
      <c r="AA39" s="113"/>
      <c r="AB39" s="113"/>
      <c r="AC39" s="113">
        <v>22261.705069</v>
      </c>
      <c r="AD39" s="348">
        <f t="shared" si="2"/>
        <v>0.9823490774951803</v>
      </c>
      <c r="AE39" s="348"/>
      <c r="AF39" s="348"/>
      <c r="AG39" s="348"/>
      <c r="AH39" s="348">
        <f t="shared" si="4"/>
        <v>0.9823490774951803</v>
      </c>
    </row>
    <row r="40" spans="1:34" ht="31.5">
      <c r="A40" s="347" t="s">
        <v>23</v>
      </c>
      <c r="B40" s="337" t="s">
        <v>283</v>
      </c>
      <c r="C40" s="347" t="s">
        <v>284</v>
      </c>
      <c r="D40" s="347"/>
      <c r="E40" s="369">
        <v>2017</v>
      </c>
      <c r="F40" s="369" t="s">
        <v>285</v>
      </c>
      <c r="G40" s="113">
        <v>14090</v>
      </c>
      <c r="H40" s="113"/>
      <c r="I40" s="113"/>
      <c r="J40" s="113"/>
      <c r="K40" s="113">
        <v>14090</v>
      </c>
      <c r="L40" s="113">
        <v>11850</v>
      </c>
      <c r="M40" s="113"/>
      <c r="N40" s="113"/>
      <c r="O40" s="113">
        <v>11850</v>
      </c>
      <c r="P40" s="113">
        <v>8800</v>
      </c>
      <c r="Q40" s="113"/>
      <c r="R40" s="113"/>
      <c r="S40" s="113">
        <v>8800</v>
      </c>
      <c r="T40" s="113">
        <v>8800</v>
      </c>
      <c r="U40" s="113"/>
      <c r="V40" s="113"/>
      <c r="W40" s="113"/>
      <c r="X40" s="113">
        <v>8800</v>
      </c>
      <c r="Y40" s="113">
        <v>8788.9619999999995</v>
      </c>
      <c r="Z40" s="113"/>
      <c r="AA40" s="113"/>
      <c r="AB40" s="113"/>
      <c r="AC40" s="113">
        <v>8788.9619999999995</v>
      </c>
      <c r="AD40" s="348">
        <f t="shared" si="2"/>
        <v>0.9987456818181818</v>
      </c>
      <c r="AE40" s="348"/>
      <c r="AF40" s="348"/>
      <c r="AG40" s="348"/>
      <c r="AH40" s="348">
        <f t="shared" si="4"/>
        <v>0.9987456818181818</v>
      </c>
    </row>
    <row r="41" spans="1:34" ht="63">
      <c r="A41" s="347" t="s">
        <v>23</v>
      </c>
      <c r="B41" s="337" t="s">
        <v>286</v>
      </c>
      <c r="C41" s="347" t="s">
        <v>287</v>
      </c>
      <c r="D41" s="347"/>
      <c r="E41" s="369" t="s">
        <v>214</v>
      </c>
      <c r="F41" s="369" t="s">
        <v>288</v>
      </c>
      <c r="G41" s="113">
        <v>13800</v>
      </c>
      <c r="H41" s="113"/>
      <c r="I41" s="113"/>
      <c r="J41" s="113"/>
      <c r="K41" s="113">
        <v>13800</v>
      </c>
      <c r="L41" s="113">
        <v>9660</v>
      </c>
      <c r="M41" s="113"/>
      <c r="N41" s="113"/>
      <c r="O41" s="113">
        <v>9660</v>
      </c>
      <c r="P41" s="113">
        <v>7500</v>
      </c>
      <c r="Q41" s="113"/>
      <c r="R41" s="113"/>
      <c r="S41" s="113">
        <v>7500</v>
      </c>
      <c r="T41" s="113">
        <v>7500</v>
      </c>
      <c r="U41" s="113"/>
      <c r="V41" s="113"/>
      <c r="W41" s="113"/>
      <c r="X41" s="113">
        <v>7500</v>
      </c>
      <c r="Y41" s="113">
        <v>6702</v>
      </c>
      <c r="Z41" s="113"/>
      <c r="AA41" s="113"/>
      <c r="AB41" s="113"/>
      <c r="AC41" s="113">
        <v>6702</v>
      </c>
      <c r="AD41" s="348">
        <f t="shared" si="2"/>
        <v>0.89359999999999995</v>
      </c>
      <c r="AE41" s="348"/>
      <c r="AF41" s="348"/>
      <c r="AG41" s="348"/>
      <c r="AH41" s="348">
        <f t="shared" si="4"/>
        <v>0.89359999999999995</v>
      </c>
    </row>
    <row r="42" spans="1:34" ht="63">
      <c r="A42" s="347" t="s">
        <v>23</v>
      </c>
      <c r="B42" s="337" t="s">
        <v>289</v>
      </c>
      <c r="C42" s="347" t="s">
        <v>287</v>
      </c>
      <c r="D42" s="347"/>
      <c r="E42" s="369" t="s">
        <v>290</v>
      </c>
      <c r="F42" s="369" t="s">
        <v>291</v>
      </c>
      <c r="G42" s="113">
        <v>2910</v>
      </c>
      <c r="H42" s="113"/>
      <c r="I42" s="113"/>
      <c r="J42" s="113"/>
      <c r="K42" s="113">
        <v>2910</v>
      </c>
      <c r="L42" s="113">
        <v>2567</v>
      </c>
      <c r="M42" s="113"/>
      <c r="N42" s="113"/>
      <c r="O42" s="113">
        <v>2567</v>
      </c>
      <c r="P42" s="113">
        <v>1000</v>
      </c>
      <c r="Q42" s="113"/>
      <c r="R42" s="113"/>
      <c r="S42" s="113">
        <v>1000</v>
      </c>
      <c r="T42" s="113">
        <v>1000</v>
      </c>
      <c r="U42" s="113"/>
      <c r="V42" s="113"/>
      <c r="W42" s="113"/>
      <c r="X42" s="113">
        <v>1000</v>
      </c>
      <c r="Y42" s="113">
        <v>997.37800000000004</v>
      </c>
      <c r="Z42" s="113"/>
      <c r="AA42" s="113"/>
      <c r="AB42" s="113"/>
      <c r="AC42" s="113">
        <v>997.37800000000004</v>
      </c>
      <c r="AD42" s="348">
        <f t="shared" si="2"/>
        <v>0.9973780000000001</v>
      </c>
      <c r="AE42" s="348"/>
      <c r="AF42" s="348"/>
      <c r="AG42" s="348"/>
      <c r="AH42" s="348">
        <f t="shared" si="4"/>
        <v>0.9973780000000001</v>
      </c>
    </row>
    <row r="43" spans="1:34" ht="94.5">
      <c r="A43" s="347" t="s">
        <v>23</v>
      </c>
      <c r="B43" s="337" t="s">
        <v>292</v>
      </c>
      <c r="C43" s="347" t="s">
        <v>213</v>
      </c>
      <c r="D43" s="347"/>
      <c r="E43" s="369" t="s">
        <v>290</v>
      </c>
      <c r="F43" s="369" t="s">
        <v>293</v>
      </c>
      <c r="G43" s="113">
        <v>6881</v>
      </c>
      <c r="H43" s="113"/>
      <c r="I43" s="113"/>
      <c r="J43" s="113"/>
      <c r="K43" s="113">
        <v>6881</v>
      </c>
      <c r="L43" s="113">
        <v>5367</v>
      </c>
      <c r="M43" s="113"/>
      <c r="N43" s="113"/>
      <c r="O43" s="113">
        <v>5367</v>
      </c>
      <c r="P43" s="113">
        <v>2000</v>
      </c>
      <c r="Q43" s="113"/>
      <c r="R43" s="113"/>
      <c r="S43" s="113">
        <v>2000</v>
      </c>
      <c r="T43" s="113">
        <v>2000</v>
      </c>
      <c r="U43" s="113"/>
      <c r="V43" s="113"/>
      <c r="W43" s="113"/>
      <c r="X43" s="113">
        <v>2000</v>
      </c>
      <c r="Y43" s="113">
        <v>1793.85</v>
      </c>
      <c r="Z43" s="113"/>
      <c r="AA43" s="113"/>
      <c r="AB43" s="113"/>
      <c r="AC43" s="113">
        <v>1793.85</v>
      </c>
      <c r="AD43" s="348">
        <f t="shared" si="2"/>
        <v>0.89692499999999997</v>
      </c>
      <c r="AE43" s="348"/>
      <c r="AF43" s="348"/>
      <c r="AG43" s="348"/>
      <c r="AH43" s="348">
        <f t="shared" si="4"/>
        <v>0.89692499999999997</v>
      </c>
    </row>
    <row r="44" spans="1:34" ht="31.5">
      <c r="A44" s="347" t="s">
        <v>23</v>
      </c>
      <c r="B44" s="337" t="s">
        <v>294</v>
      </c>
      <c r="C44" s="347" t="s">
        <v>284</v>
      </c>
      <c r="D44" s="347"/>
      <c r="E44" s="369" t="s">
        <v>295</v>
      </c>
      <c r="F44" s="369" t="s">
        <v>296</v>
      </c>
      <c r="G44" s="113">
        <v>69796</v>
      </c>
      <c r="H44" s="113"/>
      <c r="I44" s="113"/>
      <c r="J44" s="113"/>
      <c r="K44" s="113">
        <v>69796</v>
      </c>
      <c r="L44" s="113">
        <v>9097</v>
      </c>
      <c r="M44" s="113"/>
      <c r="N44" s="113"/>
      <c r="O44" s="113">
        <v>9097</v>
      </c>
      <c r="P44" s="113">
        <v>34600</v>
      </c>
      <c r="Q44" s="113"/>
      <c r="R44" s="113"/>
      <c r="S44" s="113">
        <v>34600</v>
      </c>
      <c r="T44" s="113">
        <v>34600</v>
      </c>
      <c r="U44" s="113"/>
      <c r="V44" s="113"/>
      <c r="W44" s="113"/>
      <c r="X44" s="113">
        <v>34600</v>
      </c>
      <c r="Y44" s="113">
        <v>8107.9120000000003</v>
      </c>
      <c r="Z44" s="113"/>
      <c r="AA44" s="113"/>
      <c r="AB44" s="113"/>
      <c r="AC44" s="113">
        <v>8107.9120000000003</v>
      </c>
      <c r="AD44" s="348">
        <f t="shared" si="2"/>
        <v>0.23433271676300579</v>
      </c>
      <c r="AE44" s="348"/>
      <c r="AF44" s="348"/>
      <c r="AG44" s="348"/>
      <c r="AH44" s="348">
        <f t="shared" si="4"/>
        <v>0.23433271676300579</v>
      </c>
    </row>
    <row r="45" spans="1:34" ht="31.5">
      <c r="A45" s="347" t="s">
        <v>23</v>
      </c>
      <c r="B45" s="337" t="s">
        <v>297</v>
      </c>
      <c r="C45" s="347" t="s">
        <v>298</v>
      </c>
      <c r="D45" s="347"/>
      <c r="E45" s="369" t="s">
        <v>290</v>
      </c>
      <c r="F45" s="369" t="s">
        <v>299</v>
      </c>
      <c r="G45" s="113">
        <v>10965</v>
      </c>
      <c r="H45" s="113"/>
      <c r="I45" s="113"/>
      <c r="J45" s="113"/>
      <c r="K45" s="113">
        <v>10965</v>
      </c>
      <c r="L45" s="113">
        <v>1452</v>
      </c>
      <c r="M45" s="113"/>
      <c r="N45" s="113"/>
      <c r="O45" s="113">
        <v>1452</v>
      </c>
      <c r="P45" s="113">
        <v>5000</v>
      </c>
      <c r="Q45" s="113"/>
      <c r="R45" s="113"/>
      <c r="S45" s="113">
        <v>5000</v>
      </c>
      <c r="T45" s="113">
        <v>5000</v>
      </c>
      <c r="U45" s="113"/>
      <c r="V45" s="113"/>
      <c r="W45" s="113"/>
      <c r="X45" s="113">
        <v>5000</v>
      </c>
      <c r="Y45" s="113">
        <v>1286.663</v>
      </c>
      <c r="Z45" s="113"/>
      <c r="AA45" s="113"/>
      <c r="AB45" s="113"/>
      <c r="AC45" s="113">
        <v>1286.663</v>
      </c>
      <c r="AD45" s="348">
        <f t="shared" si="2"/>
        <v>0.25733260000000002</v>
      </c>
      <c r="AE45" s="348"/>
      <c r="AF45" s="348"/>
      <c r="AG45" s="348"/>
      <c r="AH45" s="348">
        <f t="shared" si="4"/>
        <v>0.25733260000000002</v>
      </c>
    </row>
    <row r="46" spans="1:34" ht="31.5">
      <c r="A46" s="347" t="s">
        <v>23</v>
      </c>
      <c r="B46" s="337" t="s">
        <v>300</v>
      </c>
      <c r="C46" s="347" t="s">
        <v>265</v>
      </c>
      <c r="D46" s="347"/>
      <c r="E46" s="369" t="s">
        <v>214</v>
      </c>
      <c r="F46" s="369" t="s">
        <v>301</v>
      </c>
      <c r="G46" s="113">
        <v>49300</v>
      </c>
      <c r="H46" s="113"/>
      <c r="I46" s="113"/>
      <c r="J46" s="113"/>
      <c r="K46" s="113">
        <v>49300</v>
      </c>
      <c r="L46" s="113">
        <v>2000</v>
      </c>
      <c r="M46" s="113"/>
      <c r="N46" s="113"/>
      <c r="O46" s="113">
        <v>2000</v>
      </c>
      <c r="P46" s="113">
        <v>20500</v>
      </c>
      <c r="Q46" s="113"/>
      <c r="R46" s="113"/>
      <c r="S46" s="113">
        <v>20500</v>
      </c>
      <c r="T46" s="113">
        <v>20500</v>
      </c>
      <c r="U46" s="113"/>
      <c r="V46" s="113"/>
      <c r="W46" s="113"/>
      <c r="X46" s="113">
        <v>20500</v>
      </c>
      <c r="Y46" s="113">
        <v>1786.623</v>
      </c>
      <c r="Z46" s="113"/>
      <c r="AA46" s="113"/>
      <c r="AB46" s="113"/>
      <c r="AC46" s="113">
        <v>1786.623</v>
      </c>
      <c r="AD46" s="348">
        <f t="shared" si="2"/>
        <v>8.7152341463414634E-2</v>
      </c>
      <c r="AE46" s="348"/>
      <c r="AF46" s="348"/>
      <c r="AG46" s="348"/>
      <c r="AH46" s="348">
        <f t="shared" si="4"/>
        <v>8.7152341463414634E-2</v>
      </c>
    </row>
    <row r="47" spans="1:34" ht="63">
      <c r="A47" s="347" t="s">
        <v>23</v>
      </c>
      <c r="B47" s="337" t="s">
        <v>302</v>
      </c>
      <c r="C47" s="347" t="s">
        <v>303</v>
      </c>
      <c r="D47" s="347"/>
      <c r="E47" s="369" t="s">
        <v>290</v>
      </c>
      <c r="F47" s="369" t="s">
        <v>304</v>
      </c>
      <c r="G47" s="113">
        <v>3493</v>
      </c>
      <c r="H47" s="113"/>
      <c r="I47" s="113"/>
      <c r="J47" s="113"/>
      <c r="K47" s="113">
        <v>3493</v>
      </c>
      <c r="L47" s="113">
        <v>559</v>
      </c>
      <c r="M47" s="113"/>
      <c r="N47" s="113"/>
      <c r="O47" s="113">
        <v>559</v>
      </c>
      <c r="P47" s="113">
        <v>2000</v>
      </c>
      <c r="Q47" s="113"/>
      <c r="R47" s="113"/>
      <c r="S47" s="113">
        <v>2000</v>
      </c>
      <c r="T47" s="113">
        <v>2000</v>
      </c>
      <c r="U47" s="113"/>
      <c r="V47" s="113"/>
      <c r="W47" s="113"/>
      <c r="X47" s="113">
        <v>2000</v>
      </c>
      <c r="Y47" s="113">
        <v>515.18299999999999</v>
      </c>
      <c r="Z47" s="113"/>
      <c r="AA47" s="113"/>
      <c r="AB47" s="113"/>
      <c r="AC47" s="113">
        <v>515.18299999999999</v>
      </c>
      <c r="AD47" s="348">
        <f t="shared" si="2"/>
        <v>0.25759149999999997</v>
      </c>
      <c r="AE47" s="348"/>
      <c r="AF47" s="348"/>
      <c r="AG47" s="348"/>
      <c r="AH47" s="348">
        <f t="shared" si="4"/>
        <v>0.25759149999999997</v>
      </c>
    </row>
    <row r="48" spans="1:34" ht="63">
      <c r="A48" s="347" t="s">
        <v>23</v>
      </c>
      <c r="B48" s="337" t="s">
        <v>305</v>
      </c>
      <c r="C48" s="347" t="s">
        <v>306</v>
      </c>
      <c r="D48" s="347"/>
      <c r="E48" s="369" t="s">
        <v>290</v>
      </c>
      <c r="F48" s="369" t="s">
        <v>307</v>
      </c>
      <c r="G48" s="113">
        <v>2952</v>
      </c>
      <c r="H48" s="113"/>
      <c r="I48" s="113"/>
      <c r="J48" s="113"/>
      <c r="K48" s="113">
        <v>2952</v>
      </c>
      <c r="L48" s="113">
        <v>118</v>
      </c>
      <c r="M48" s="113"/>
      <c r="N48" s="113"/>
      <c r="O48" s="113">
        <v>118</v>
      </c>
      <c r="P48" s="113">
        <v>1000</v>
      </c>
      <c r="Q48" s="113"/>
      <c r="R48" s="113"/>
      <c r="S48" s="113">
        <v>1000</v>
      </c>
      <c r="T48" s="113">
        <v>1000</v>
      </c>
      <c r="U48" s="113"/>
      <c r="V48" s="113"/>
      <c r="W48" s="113"/>
      <c r="X48" s="113">
        <v>1000</v>
      </c>
      <c r="Y48" s="113">
        <v>100</v>
      </c>
      <c r="Z48" s="113"/>
      <c r="AA48" s="113"/>
      <c r="AB48" s="113"/>
      <c r="AC48" s="113">
        <v>100</v>
      </c>
      <c r="AD48" s="348">
        <f t="shared" si="2"/>
        <v>0.1</v>
      </c>
      <c r="AE48" s="348"/>
      <c r="AF48" s="348"/>
      <c r="AG48" s="348"/>
      <c r="AH48" s="348">
        <f t="shared" si="4"/>
        <v>0.1</v>
      </c>
    </row>
    <row r="49" spans="1:34" ht="63">
      <c r="A49" s="347" t="s">
        <v>23</v>
      </c>
      <c r="B49" s="337" t="s">
        <v>308</v>
      </c>
      <c r="C49" s="347" t="s">
        <v>309</v>
      </c>
      <c r="D49" s="347"/>
      <c r="E49" s="369" t="s">
        <v>290</v>
      </c>
      <c r="F49" s="369" t="s">
        <v>310</v>
      </c>
      <c r="G49" s="113">
        <v>4967</v>
      </c>
      <c r="H49" s="113"/>
      <c r="I49" s="113"/>
      <c r="J49" s="113"/>
      <c r="K49" s="113">
        <v>4967</v>
      </c>
      <c r="L49" s="113">
        <v>926</v>
      </c>
      <c r="M49" s="113"/>
      <c r="N49" s="113"/>
      <c r="O49" s="113">
        <v>926</v>
      </c>
      <c r="P49" s="113">
        <v>3000</v>
      </c>
      <c r="Q49" s="113"/>
      <c r="R49" s="113"/>
      <c r="S49" s="113">
        <v>3000</v>
      </c>
      <c r="T49" s="113">
        <v>3000</v>
      </c>
      <c r="U49" s="113"/>
      <c r="V49" s="113"/>
      <c r="W49" s="113"/>
      <c r="X49" s="113">
        <v>3000</v>
      </c>
      <c r="Y49" s="113">
        <v>856.52800000000002</v>
      </c>
      <c r="Z49" s="113"/>
      <c r="AA49" s="113"/>
      <c r="AB49" s="113"/>
      <c r="AC49" s="113">
        <v>856.52800000000002</v>
      </c>
      <c r="AD49" s="348">
        <f t="shared" si="2"/>
        <v>0.28550933333333334</v>
      </c>
      <c r="AE49" s="348"/>
      <c r="AF49" s="348"/>
      <c r="AG49" s="348"/>
      <c r="AH49" s="348">
        <f t="shared" si="4"/>
        <v>0.28550933333333334</v>
      </c>
    </row>
    <row r="50" spans="1:34" ht="94.5">
      <c r="A50" s="347" t="s">
        <v>23</v>
      </c>
      <c r="B50" s="337" t="s">
        <v>311</v>
      </c>
      <c r="C50" s="347" t="s">
        <v>284</v>
      </c>
      <c r="D50" s="347"/>
      <c r="E50" s="369" t="s">
        <v>290</v>
      </c>
      <c r="F50" s="369" t="s">
        <v>312</v>
      </c>
      <c r="G50" s="113">
        <v>2959</v>
      </c>
      <c r="H50" s="113"/>
      <c r="I50" s="113"/>
      <c r="J50" s="113"/>
      <c r="K50" s="113">
        <v>2959</v>
      </c>
      <c r="L50" s="113">
        <v>1081</v>
      </c>
      <c r="M50" s="113"/>
      <c r="N50" s="113"/>
      <c r="O50" s="113">
        <v>1081</v>
      </c>
      <c r="P50" s="113">
        <v>2000</v>
      </c>
      <c r="Q50" s="113"/>
      <c r="R50" s="113"/>
      <c r="S50" s="113">
        <v>2000</v>
      </c>
      <c r="T50" s="113">
        <v>2000</v>
      </c>
      <c r="U50" s="113"/>
      <c r="V50" s="113"/>
      <c r="W50" s="113"/>
      <c r="X50" s="113">
        <v>2000</v>
      </c>
      <c r="Y50" s="113">
        <v>1001.859</v>
      </c>
      <c r="Z50" s="113"/>
      <c r="AA50" s="113"/>
      <c r="AB50" s="113"/>
      <c r="AC50" s="113">
        <v>1001.859</v>
      </c>
      <c r="AD50" s="348">
        <f t="shared" si="2"/>
        <v>0.50092950000000003</v>
      </c>
      <c r="AE50" s="348"/>
      <c r="AF50" s="348"/>
      <c r="AG50" s="348"/>
      <c r="AH50" s="348">
        <f t="shared" si="4"/>
        <v>0.50092950000000003</v>
      </c>
    </row>
    <row r="51" spans="1:34" ht="31.5">
      <c r="A51" s="334">
        <v>4</v>
      </c>
      <c r="B51" s="335" t="s">
        <v>130</v>
      </c>
      <c r="C51" s="347"/>
      <c r="D51" s="347"/>
      <c r="E51" s="369"/>
      <c r="F51" s="369"/>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348"/>
      <c r="AE51" s="348"/>
      <c r="AF51" s="348"/>
      <c r="AG51" s="348"/>
      <c r="AH51" s="348"/>
    </row>
    <row r="52" spans="1:34" ht="47.25">
      <c r="A52" s="347" t="s">
        <v>23</v>
      </c>
      <c r="B52" s="337" t="s">
        <v>313</v>
      </c>
      <c r="C52" s="347"/>
      <c r="D52" s="347"/>
      <c r="E52" s="373" t="s">
        <v>281</v>
      </c>
      <c r="F52" s="369" t="s">
        <v>314</v>
      </c>
      <c r="G52" s="113">
        <v>151.255</v>
      </c>
      <c r="H52" s="113"/>
      <c r="I52" s="113"/>
      <c r="J52" s="113"/>
      <c r="K52" s="113">
        <f>G52</f>
        <v>151.255</v>
      </c>
      <c r="L52" s="113">
        <v>143.99799999999999</v>
      </c>
      <c r="M52" s="113"/>
      <c r="N52" s="113"/>
      <c r="O52" s="113">
        <v>143.99799999999999</v>
      </c>
      <c r="P52" s="113">
        <v>112.86499999999999</v>
      </c>
      <c r="Q52" s="113"/>
      <c r="R52" s="113"/>
      <c r="S52" s="113"/>
      <c r="T52" s="113">
        <v>7.1348550000000017</v>
      </c>
      <c r="U52" s="113"/>
      <c r="V52" s="113"/>
      <c r="W52" s="113"/>
      <c r="X52" s="113">
        <v>7.1348550000000017</v>
      </c>
      <c r="Y52" s="113">
        <v>0</v>
      </c>
      <c r="Z52" s="113"/>
      <c r="AA52" s="113"/>
      <c r="AB52" s="113"/>
      <c r="AC52" s="113"/>
      <c r="AD52" s="348">
        <f t="shared" si="2"/>
        <v>0</v>
      </c>
      <c r="AE52" s="348"/>
      <c r="AF52" s="348"/>
      <c r="AG52" s="348"/>
      <c r="AH52" s="348">
        <f>AC52/X52</f>
        <v>0</v>
      </c>
    </row>
    <row r="53" spans="1:34" s="346" customFormat="1" ht="31.5">
      <c r="A53" s="334">
        <v>5</v>
      </c>
      <c r="B53" s="335" t="s">
        <v>131</v>
      </c>
      <c r="C53" s="334"/>
      <c r="D53" s="334"/>
      <c r="E53" s="357"/>
      <c r="F53" s="357"/>
      <c r="G53" s="345"/>
      <c r="H53" s="345"/>
      <c r="I53" s="345"/>
      <c r="J53" s="345"/>
      <c r="K53" s="345"/>
      <c r="L53" s="345"/>
      <c r="M53" s="345"/>
      <c r="N53" s="345"/>
      <c r="O53" s="345"/>
      <c r="P53" s="345"/>
      <c r="Q53" s="345"/>
      <c r="R53" s="345"/>
      <c r="S53" s="345"/>
      <c r="T53" s="345"/>
      <c r="U53" s="345"/>
      <c r="V53" s="345"/>
      <c r="W53" s="345"/>
      <c r="X53" s="345"/>
      <c r="Y53" s="345"/>
      <c r="Z53" s="345"/>
      <c r="AA53" s="345"/>
      <c r="AB53" s="345"/>
      <c r="AC53" s="345"/>
      <c r="AD53" s="348"/>
      <c r="AE53" s="348"/>
      <c r="AF53" s="348"/>
      <c r="AG53" s="348"/>
      <c r="AH53" s="348"/>
    </row>
    <row r="54" spans="1:34" ht="47.25">
      <c r="A54" s="347" t="s">
        <v>23</v>
      </c>
      <c r="B54" s="337" t="s">
        <v>315</v>
      </c>
      <c r="C54" s="347"/>
      <c r="D54" s="347"/>
      <c r="E54" s="373" t="s">
        <v>316</v>
      </c>
      <c r="F54" s="369" t="s">
        <v>317</v>
      </c>
      <c r="G54" s="113">
        <v>576.99699999999996</v>
      </c>
      <c r="H54" s="113"/>
      <c r="I54" s="113"/>
      <c r="J54" s="113"/>
      <c r="K54" s="113">
        <v>576.99699999999996</v>
      </c>
      <c r="L54" s="113"/>
      <c r="M54" s="113"/>
      <c r="N54" s="113"/>
      <c r="O54" s="113"/>
      <c r="P54" s="113"/>
      <c r="Q54" s="113"/>
      <c r="R54" s="113"/>
      <c r="S54" s="113"/>
      <c r="T54" s="113">
        <v>160.20255500000002</v>
      </c>
      <c r="U54" s="113"/>
      <c r="V54" s="113"/>
      <c r="W54" s="113"/>
      <c r="X54" s="113">
        <v>160.20255500000002</v>
      </c>
      <c r="Y54" s="113">
        <v>160.20255500000002</v>
      </c>
      <c r="Z54" s="113"/>
      <c r="AA54" s="113"/>
      <c r="AB54" s="113"/>
      <c r="AC54" s="113">
        <v>160.20255500000002</v>
      </c>
      <c r="AD54" s="348">
        <f t="shared" si="2"/>
        <v>1</v>
      </c>
      <c r="AE54" s="348"/>
      <c r="AF54" s="348"/>
      <c r="AG54" s="348"/>
      <c r="AH54" s="348">
        <f>AC54/X54</f>
        <v>1</v>
      </c>
    </row>
    <row r="55" spans="1:34" s="346" customFormat="1" ht="31.5">
      <c r="A55" s="334">
        <v>6</v>
      </c>
      <c r="B55" s="335" t="s">
        <v>132</v>
      </c>
      <c r="C55" s="334"/>
      <c r="D55" s="334"/>
      <c r="E55" s="357"/>
      <c r="F55" s="357"/>
      <c r="G55" s="345"/>
      <c r="H55" s="345"/>
      <c r="I55" s="345"/>
      <c r="J55" s="345"/>
      <c r="K55" s="345"/>
      <c r="L55" s="345"/>
      <c r="M55" s="345"/>
      <c r="N55" s="345"/>
      <c r="O55" s="345"/>
      <c r="P55" s="345"/>
      <c r="Q55" s="345"/>
      <c r="R55" s="345"/>
      <c r="S55" s="345"/>
      <c r="T55" s="345"/>
      <c r="U55" s="345"/>
      <c r="V55" s="345"/>
      <c r="W55" s="345"/>
      <c r="X55" s="345"/>
      <c r="Y55" s="345"/>
      <c r="Z55" s="345"/>
      <c r="AA55" s="345"/>
      <c r="AB55" s="345"/>
      <c r="AC55" s="345"/>
      <c r="AD55" s="348"/>
      <c r="AE55" s="348"/>
      <c r="AF55" s="348"/>
      <c r="AG55" s="348"/>
      <c r="AH55" s="348"/>
    </row>
    <row r="56" spans="1:34">
      <c r="A56" s="347" t="s">
        <v>23</v>
      </c>
      <c r="B56" s="337" t="s">
        <v>318</v>
      </c>
      <c r="C56" s="347"/>
      <c r="D56" s="347"/>
      <c r="E56" s="369"/>
      <c r="F56" s="369"/>
      <c r="G56" s="113"/>
      <c r="H56" s="113"/>
      <c r="I56" s="113"/>
      <c r="J56" s="113"/>
      <c r="K56" s="113"/>
      <c r="L56" s="113"/>
      <c r="M56" s="113"/>
      <c r="N56" s="113"/>
      <c r="O56" s="113"/>
      <c r="P56" s="113"/>
      <c r="Q56" s="113"/>
      <c r="R56" s="113"/>
      <c r="S56" s="113"/>
      <c r="T56" s="113">
        <v>383.88399999999996</v>
      </c>
      <c r="U56" s="113"/>
      <c r="V56" s="113">
        <v>383.88399999999996</v>
      </c>
      <c r="W56" s="113"/>
      <c r="X56" s="113"/>
      <c r="Y56" s="113">
        <v>325.18</v>
      </c>
      <c r="Z56" s="113"/>
      <c r="AA56" s="113">
        <v>325.18</v>
      </c>
      <c r="AB56" s="113"/>
      <c r="AC56" s="113"/>
      <c r="AD56" s="348">
        <f t="shared" si="2"/>
        <v>0.847078805055694</v>
      </c>
      <c r="AE56" s="348"/>
      <c r="AF56" s="348">
        <f t="shared" si="3"/>
        <v>0.847078805055694</v>
      </c>
      <c r="AG56" s="348"/>
      <c r="AH56" s="348"/>
    </row>
    <row r="57" spans="1:34" ht="45">
      <c r="A57" s="347" t="s">
        <v>23</v>
      </c>
      <c r="B57" s="337" t="s">
        <v>319</v>
      </c>
      <c r="C57" s="347"/>
      <c r="D57" s="347"/>
      <c r="E57" s="369"/>
      <c r="F57" s="369" t="s">
        <v>320</v>
      </c>
      <c r="G57" s="113">
        <v>1802.8230000000001</v>
      </c>
      <c r="H57" s="113"/>
      <c r="I57" s="113"/>
      <c r="J57" s="113"/>
      <c r="K57" s="113">
        <v>1802.8230000000001</v>
      </c>
      <c r="L57" s="113"/>
      <c r="M57" s="113"/>
      <c r="N57" s="113"/>
      <c r="O57" s="113"/>
      <c r="P57" s="113"/>
      <c r="Q57" s="113"/>
      <c r="R57" s="113"/>
      <c r="S57" s="113"/>
      <c r="T57" s="113">
        <v>700.09400000000005</v>
      </c>
      <c r="U57" s="113"/>
      <c r="V57" s="113"/>
      <c r="W57" s="113"/>
      <c r="X57" s="113">
        <v>700.09400000000005</v>
      </c>
      <c r="Y57" s="113">
        <v>564.26649999999995</v>
      </c>
      <c r="Z57" s="113"/>
      <c r="AA57" s="113"/>
      <c r="AB57" s="113"/>
      <c r="AC57" s="113">
        <v>564.26649999999995</v>
      </c>
      <c r="AD57" s="348">
        <f t="shared" si="2"/>
        <v>0.80598676749122244</v>
      </c>
      <c r="AE57" s="348"/>
      <c r="AF57" s="348"/>
      <c r="AG57" s="348"/>
      <c r="AH57" s="348">
        <f>AC57/X57</f>
        <v>0.80598676749122244</v>
      </c>
    </row>
    <row r="58" spans="1:34" s="346" customFormat="1" ht="31.5">
      <c r="A58" s="334">
        <v>7</v>
      </c>
      <c r="B58" s="335" t="s">
        <v>133</v>
      </c>
      <c r="C58" s="334"/>
      <c r="D58" s="334"/>
      <c r="E58" s="357"/>
      <c r="F58" s="357"/>
      <c r="G58" s="345"/>
      <c r="H58" s="345"/>
      <c r="I58" s="345"/>
      <c r="J58" s="345"/>
      <c r="K58" s="345"/>
      <c r="L58" s="345"/>
      <c r="M58" s="345"/>
      <c r="N58" s="345"/>
      <c r="O58" s="345"/>
      <c r="P58" s="345"/>
      <c r="Q58" s="345"/>
      <c r="R58" s="345"/>
      <c r="S58" s="345"/>
      <c r="T58" s="345"/>
      <c r="U58" s="345"/>
      <c r="V58" s="345"/>
      <c r="W58" s="345"/>
      <c r="X58" s="345"/>
      <c r="Y58" s="345"/>
      <c r="Z58" s="345"/>
      <c r="AA58" s="345"/>
      <c r="AB58" s="345"/>
      <c r="AC58" s="345"/>
      <c r="AD58" s="348"/>
      <c r="AE58" s="348"/>
      <c r="AF58" s="348"/>
      <c r="AG58" s="348"/>
      <c r="AH58" s="348"/>
    </row>
    <row r="59" spans="1:34" ht="47.25">
      <c r="A59" s="347" t="s">
        <v>23</v>
      </c>
      <c r="B59" s="337" t="s">
        <v>321</v>
      </c>
      <c r="C59" s="347"/>
      <c r="D59" s="347"/>
      <c r="E59" s="369"/>
      <c r="F59" s="369" t="s">
        <v>322</v>
      </c>
      <c r="G59" s="113">
        <v>854.59299999999996</v>
      </c>
      <c r="H59" s="113"/>
      <c r="I59" s="113"/>
      <c r="J59" s="113"/>
      <c r="K59" s="113">
        <v>854.59299999999996</v>
      </c>
      <c r="L59" s="113"/>
      <c r="M59" s="113"/>
      <c r="N59" s="113"/>
      <c r="O59" s="113"/>
      <c r="P59" s="113"/>
      <c r="Q59" s="113"/>
      <c r="R59" s="113"/>
      <c r="S59" s="113"/>
      <c r="T59" s="113">
        <v>547.57399999999996</v>
      </c>
      <c r="U59" s="113"/>
      <c r="V59" s="113"/>
      <c r="W59" s="113"/>
      <c r="X59" s="113">
        <v>547.57399999999996</v>
      </c>
      <c r="Y59" s="113">
        <v>482.58839999999998</v>
      </c>
      <c r="Z59" s="113"/>
      <c r="AA59" s="113"/>
      <c r="AB59" s="113"/>
      <c r="AC59" s="113">
        <v>482.58839999999998</v>
      </c>
      <c r="AD59" s="348">
        <f t="shared" si="2"/>
        <v>0.8813208808307188</v>
      </c>
      <c r="AE59" s="348"/>
      <c r="AF59" s="348"/>
      <c r="AG59" s="348"/>
      <c r="AH59" s="348">
        <f>AC59/X59</f>
        <v>0.8813208808307188</v>
      </c>
    </row>
    <row r="60" spans="1:34" s="346" customFormat="1" ht="31.5">
      <c r="A60" s="334">
        <v>8</v>
      </c>
      <c r="B60" s="335" t="s">
        <v>134</v>
      </c>
      <c r="C60" s="334"/>
      <c r="D60" s="334"/>
      <c r="E60" s="357"/>
      <c r="F60" s="357"/>
      <c r="G60" s="345"/>
      <c r="H60" s="345"/>
      <c r="I60" s="345"/>
      <c r="J60" s="345"/>
      <c r="K60" s="345"/>
      <c r="L60" s="345"/>
      <c r="M60" s="345"/>
      <c r="N60" s="345"/>
      <c r="O60" s="345"/>
      <c r="P60" s="345"/>
      <c r="Q60" s="345"/>
      <c r="R60" s="345"/>
      <c r="S60" s="345"/>
      <c r="T60" s="345"/>
      <c r="U60" s="345"/>
      <c r="V60" s="345"/>
      <c r="W60" s="345"/>
      <c r="X60" s="345"/>
      <c r="Y60" s="345"/>
      <c r="Z60" s="345"/>
      <c r="AA60" s="345"/>
      <c r="AB60" s="345"/>
      <c r="AC60" s="345"/>
      <c r="AD60" s="348"/>
      <c r="AE60" s="348"/>
      <c r="AF60" s="348"/>
      <c r="AG60" s="348"/>
      <c r="AH60" s="348"/>
    </row>
    <row r="61" spans="1:34">
      <c r="A61" s="347" t="s">
        <v>23</v>
      </c>
      <c r="B61" s="337" t="s">
        <v>323</v>
      </c>
      <c r="C61" s="347"/>
      <c r="D61" s="347"/>
      <c r="E61" s="369"/>
      <c r="F61" s="369"/>
      <c r="G61" s="113"/>
      <c r="H61" s="113"/>
      <c r="I61" s="113"/>
      <c r="J61" s="113"/>
      <c r="K61" s="113"/>
      <c r="L61" s="113"/>
      <c r="M61" s="113"/>
      <c r="N61" s="113"/>
      <c r="O61" s="113"/>
      <c r="P61" s="113"/>
      <c r="Q61" s="113"/>
      <c r="R61" s="113"/>
      <c r="S61" s="113"/>
      <c r="T61" s="113">
        <v>341.66</v>
      </c>
      <c r="U61" s="113"/>
      <c r="V61" s="113">
        <v>341.66</v>
      </c>
      <c r="W61" s="113"/>
      <c r="X61" s="113"/>
      <c r="Y61" s="113">
        <v>70.555228</v>
      </c>
      <c r="Z61" s="113"/>
      <c r="AA61" s="113">
        <v>70.555228</v>
      </c>
      <c r="AB61" s="113"/>
      <c r="AC61" s="113"/>
      <c r="AD61" s="348">
        <f t="shared" si="2"/>
        <v>0.20650713574899021</v>
      </c>
      <c r="AE61" s="348"/>
      <c r="AF61" s="348">
        <f t="shared" si="3"/>
        <v>0.20650713574899021</v>
      </c>
      <c r="AG61" s="348"/>
      <c r="AH61" s="348"/>
    </row>
    <row r="62" spans="1:34" ht="31.5">
      <c r="A62" s="347" t="s">
        <v>23</v>
      </c>
      <c r="B62" s="337" t="s">
        <v>324</v>
      </c>
      <c r="C62" s="347"/>
      <c r="D62" s="347"/>
      <c r="E62" s="369"/>
      <c r="F62" s="369" t="s">
        <v>325</v>
      </c>
      <c r="G62" s="113">
        <v>1276.374</v>
      </c>
      <c r="H62" s="113"/>
      <c r="I62" s="113"/>
      <c r="J62" s="113"/>
      <c r="K62" s="113">
        <v>1276.374</v>
      </c>
      <c r="L62" s="113"/>
      <c r="M62" s="113"/>
      <c r="N62" s="113"/>
      <c r="O62" s="113"/>
      <c r="P62" s="113"/>
      <c r="Q62" s="113"/>
      <c r="R62" s="113"/>
      <c r="S62" s="113"/>
      <c r="T62" s="113">
        <v>1000</v>
      </c>
      <c r="U62" s="113"/>
      <c r="V62" s="113"/>
      <c r="W62" s="113"/>
      <c r="X62" s="113">
        <v>1000</v>
      </c>
      <c r="Y62" s="113">
        <v>0</v>
      </c>
      <c r="Z62" s="113"/>
      <c r="AA62" s="113"/>
      <c r="AB62" s="113"/>
      <c r="AC62" s="113"/>
      <c r="AD62" s="348">
        <f t="shared" si="2"/>
        <v>0</v>
      </c>
      <c r="AE62" s="348"/>
      <c r="AF62" s="348"/>
      <c r="AG62" s="348"/>
      <c r="AH62" s="348">
        <f>AC62/X62</f>
        <v>0</v>
      </c>
    </row>
    <row r="63" spans="1:34" s="346" customFormat="1" ht="31.5">
      <c r="A63" s="334">
        <v>9</v>
      </c>
      <c r="B63" s="335" t="s">
        <v>135</v>
      </c>
      <c r="C63" s="334"/>
      <c r="D63" s="334"/>
      <c r="E63" s="357"/>
      <c r="F63" s="357"/>
      <c r="G63" s="345"/>
      <c r="H63" s="345"/>
      <c r="I63" s="345"/>
      <c r="J63" s="345"/>
      <c r="K63" s="345"/>
      <c r="L63" s="345"/>
      <c r="M63" s="345"/>
      <c r="N63" s="345"/>
      <c r="O63" s="345"/>
      <c r="P63" s="345"/>
      <c r="Q63" s="345"/>
      <c r="R63" s="345"/>
      <c r="S63" s="345"/>
      <c r="T63" s="345"/>
      <c r="U63" s="345"/>
      <c r="V63" s="345"/>
      <c r="W63" s="345"/>
      <c r="X63" s="345"/>
      <c r="Y63" s="345"/>
      <c r="Z63" s="345"/>
      <c r="AA63" s="345"/>
      <c r="AB63" s="345"/>
      <c r="AC63" s="345"/>
      <c r="AD63" s="348"/>
      <c r="AE63" s="348"/>
      <c r="AF63" s="348"/>
      <c r="AG63" s="348"/>
      <c r="AH63" s="348"/>
    </row>
    <row r="64" spans="1:34" ht="47.25">
      <c r="A64" s="347" t="s">
        <v>23</v>
      </c>
      <c r="B64" s="337" t="s">
        <v>326</v>
      </c>
      <c r="C64" s="347"/>
      <c r="D64" s="347"/>
      <c r="E64" s="369"/>
      <c r="F64" s="369" t="s">
        <v>327</v>
      </c>
      <c r="G64" s="113">
        <v>1120.635</v>
      </c>
      <c r="H64" s="113"/>
      <c r="I64" s="113"/>
      <c r="J64" s="113"/>
      <c r="K64" s="113">
        <v>1120.635</v>
      </c>
      <c r="L64" s="113"/>
      <c r="M64" s="113"/>
      <c r="N64" s="113"/>
      <c r="O64" s="113"/>
      <c r="P64" s="113"/>
      <c r="Q64" s="113"/>
      <c r="R64" s="113"/>
      <c r="S64" s="113"/>
      <c r="T64" s="113">
        <v>335.21140000000003</v>
      </c>
      <c r="U64" s="113"/>
      <c r="V64" s="113"/>
      <c r="W64" s="113"/>
      <c r="X64" s="113">
        <v>335.21140000000003</v>
      </c>
      <c r="Y64" s="113">
        <v>329.21140000000003</v>
      </c>
      <c r="Z64" s="113"/>
      <c r="AA64" s="113"/>
      <c r="AB64" s="113"/>
      <c r="AC64" s="113">
        <v>329.21140000000003</v>
      </c>
      <c r="AD64" s="348">
        <f t="shared" si="2"/>
        <v>0.98210084740554771</v>
      </c>
      <c r="AE64" s="348"/>
      <c r="AF64" s="348"/>
      <c r="AG64" s="348"/>
      <c r="AH64" s="348">
        <f>AC64/X64</f>
        <v>0.98210084740554771</v>
      </c>
    </row>
    <row r="65" spans="1:34" s="346" customFormat="1" ht="31.5">
      <c r="A65" s="334">
        <v>10</v>
      </c>
      <c r="B65" s="335" t="s">
        <v>136</v>
      </c>
      <c r="C65" s="334"/>
      <c r="D65" s="334"/>
      <c r="E65" s="357"/>
      <c r="F65" s="357"/>
      <c r="G65" s="345"/>
      <c r="H65" s="345"/>
      <c r="I65" s="345"/>
      <c r="J65" s="345"/>
      <c r="K65" s="345"/>
      <c r="L65" s="345"/>
      <c r="M65" s="345"/>
      <c r="N65" s="345"/>
      <c r="O65" s="345"/>
      <c r="P65" s="345"/>
      <c r="Q65" s="345"/>
      <c r="R65" s="345"/>
      <c r="S65" s="345"/>
      <c r="T65" s="345"/>
      <c r="U65" s="345"/>
      <c r="V65" s="345"/>
      <c r="W65" s="345"/>
      <c r="X65" s="345"/>
      <c r="Y65" s="345"/>
      <c r="Z65" s="345"/>
      <c r="AA65" s="345"/>
      <c r="AB65" s="345"/>
      <c r="AC65" s="345"/>
      <c r="AD65" s="348"/>
      <c r="AE65" s="348"/>
      <c r="AF65" s="348"/>
      <c r="AG65" s="348"/>
      <c r="AH65" s="348"/>
    </row>
    <row r="66" spans="1:34">
      <c r="A66" s="347" t="s">
        <v>23</v>
      </c>
      <c r="B66" s="337" t="s">
        <v>328</v>
      </c>
      <c r="C66" s="347"/>
      <c r="D66" s="347"/>
      <c r="E66" s="369"/>
      <c r="F66" s="369"/>
      <c r="G66" s="113"/>
      <c r="H66" s="113"/>
      <c r="I66" s="113"/>
      <c r="J66" s="113"/>
      <c r="K66" s="113"/>
      <c r="L66" s="113"/>
      <c r="M66" s="113"/>
      <c r="N66" s="113"/>
      <c r="O66" s="113"/>
      <c r="P66" s="113"/>
      <c r="Q66" s="113"/>
      <c r="R66" s="113"/>
      <c r="S66" s="113"/>
      <c r="T66" s="113">
        <f>417.723+67.3</f>
        <v>485.02300000000002</v>
      </c>
      <c r="U66" s="113"/>
      <c r="V66" s="113">
        <f>417.723+67.3</f>
        <v>485.02300000000002</v>
      </c>
      <c r="W66" s="113"/>
      <c r="X66" s="113"/>
      <c r="Y66" s="113">
        <v>129.45099999999999</v>
      </c>
      <c r="Z66" s="113"/>
      <c r="AA66" s="113">
        <v>129.45099999999999</v>
      </c>
      <c r="AB66" s="113"/>
      <c r="AC66" s="113"/>
      <c r="AD66" s="348">
        <f t="shared" si="2"/>
        <v>0.26689662139733578</v>
      </c>
      <c r="AE66" s="348"/>
      <c r="AF66" s="348">
        <f t="shared" si="3"/>
        <v>0.26689662139733578</v>
      </c>
      <c r="AG66" s="348"/>
      <c r="AH66" s="348"/>
    </row>
    <row r="67" spans="1:34" ht="31.5">
      <c r="A67" s="347" t="s">
        <v>23</v>
      </c>
      <c r="B67" s="337" t="s">
        <v>329</v>
      </c>
      <c r="C67" s="347"/>
      <c r="D67" s="347"/>
      <c r="E67" s="369"/>
      <c r="F67" s="369" t="s">
        <v>330</v>
      </c>
      <c r="G67" s="113">
        <v>414.91800000000001</v>
      </c>
      <c r="H67" s="113"/>
      <c r="I67" s="113"/>
      <c r="J67" s="113"/>
      <c r="K67" s="113">
        <v>414.91800000000001</v>
      </c>
      <c r="L67" s="113"/>
      <c r="M67" s="113"/>
      <c r="N67" s="113"/>
      <c r="O67" s="113"/>
      <c r="P67" s="113"/>
      <c r="Q67" s="113"/>
      <c r="R67" s="113"/>
      <c r="S67" s="113"/>
      <c r="T67" s="113">
        <v>330</v>
      </c>
      <c r="U67" s="113"/>
      <c r="V67" s="113"/>
      <c r="W67" s="113"/>
      <c r="X67" s="113">
        <v>330</v>
      </c>
      <c r="Y67" s="113">
        <v>302.22680000000003</v>
      </c>
      <c r="Z67" s="113"/>
      <c r="AA67" s="113"/>
      <c r="AB67" s="113"/>
      <c r="AC67" s="113">
        <v>302.22680000000003</v>
      </c>
      <c r="AD67" s="348">
        <f t="shared" si="2"/>
        <v>0.91583878787878792</v>
      </c>
      <c r="AE67" s="348"/>
      <c r="AF67" s="348"/>
      <c r="AG67" s="348"/>
      <c r="AH67" s="348">
        <f>AC67/X67</f>
        <v>0.91583878787878792</v>
      </c>
    </row>
    <row r="68" spans="1:34" ht="47.25">
      <c r="A68" s="347" t="s">
        <v>23</v>
      </c>
      <c r="B68" s="337" t="s">
        <v>331</v>
      </c>
      <c r="C68" s="347"/>
      <c r="D68" s="347"/>
      <c r="E68" s="369"/>
      <c r="F68" s="369"/>
      <c r="G68" s="113"/>
      <c r="H68" s="113"/>
      <c r="I68" s="113"/>
      <c r="J68" s="113"/>
      <c r="K68" s="113"/>
      <c r="L68" s="113"/>
      <c r="M68" s="113"/>
      <c r="N68" s="113"/>
      <c r="O68" s="113"/>
      <c r="P68" s="113"/>
      <c r="Q68" s="113"/>
      <c r="R68" s="113"/>
      <c r="S68" s="113"/>
      <c r="T68" s="113">
        <v>186.2183</v>
      </c>
      <c r="U68" s="113"/>
      <c r="V68" s="113"/>
      <c r="W68" s="113"/>
      <c r="X68" s="113">
        <v>186.2183</v>
      </c>
      <c r="Y68" s="113">
        <v>175.88977700000001</v>
      </c>
      <c r="Z68" s="113"/>
      <c r="AA68" s="113"/>
      <c r="AB68" s="113"/>
      <c r="AC68" s="113">
        <v>175.88977700000001</v>
      </c>
      <c r="AD68" s="348">
        <f t="shared" si="2"/>
        <v>0.94453540280412829</v>
      </c>
      <c r="AE68" s="348"/>
      <c r="AF68" s="348"/>
      <c r="AG68" s="348"/>
      <c r="AH68" s="348">
        <f>AC68/X68</f>
        <v>0.94453540280412829</v>
      </c>
    </row>
    <row r="69" spans="1:34" s="346" customFormat="1" ht="31.5">
      <c r="A69" s="334">
        <v>11</v>
      </c>
      <c r="B69" s="335" t="s">
        <v>137</v>
      </c>
      <c r="C69" s="334"/>
      <c r="D69" s="334"/>
      <c r="E69" s="357"/>
      <c r="F69" s="357"/>
      <c r="G69" s="345"/>
      <c r="H69" s="345"/>
      <c r="I69" s="345"/>
      <c r="J69" s="345"/>
      <c r="K69" s="345"/>
      <c r="L69" s="345"/>
      <c r="M69" s="345"/>
      <c r="N69" s="345"/>
      <c r="O69" s="345"/>
      <c r="P69" s="345"/>
      <c r="Q69" s="345"/>
      <c r="R69" s="345"/>
      <c r="S69" s="345"/>
      <c r="T69" s="345"/>
      <c r="U69" s="345"/>
      <c r="V69" s="345"/>
      <c r="W69" s="345"/>
      <c r="X69" s="345"/>
      <c r="Y69" s="345"/>
      <c r="Z69" s="345"/>
      <c r="AA69" s="345"/>
      <c r="AB69" s="345"/>
      <c r="AC69" s="345"/>
      <c r="AD69" s="348"/>
      <c r="AE69" s="348"/>
      <c r="AF69" s="348"/>
      <c r="AG69" s="348"/>
      <c r="AH69" s="348"/>
    </row>
    <row r="70" spans="1:34">
      <c r="A70" s="347" t="s">
        <v>23</v>
      </c>
      <c r="B70" s="337" t="s">
        <v>332</v>
      </c>
      <c r="C70" s="347"/>
      <c r="D70" s="347"/>
      <c r="E70" s="369"/>
      <c r="F70" s="369"/>
      <c r="G70" s="113"/>
      <c r="H70" s="113"/>
      <c r="I70" s="113"/>
      <c r="J70" s="113"/>
      <c r="K70" s="113"/>
      <c r="L70" s="113"/>
      <c r="M70" s="113"/>
      <c r="N70" s="113"/>
      <c r="O70" s="113"/>
      <c r="P70" s="113"/>
      <c r="Q70" s="113"/>
      <c r="R70" s="113"/>
      <c r="S70" s="113"/>
      <c r="T70" s="113">
        <v>0.14900000000000091</v>
      </c>
      <c r="U70" s="113"/>
      <c r="V70" s="113">
        <v>0.14900000000000091</v>
      </c>
      <c r="W70" s="113"/>
      <c r="X70" s="113"/>
      <c r="Y70" s="113">
        <v>0.14899999999999999</v>
      </c>
      <c r="Z70" s="113"/>
      <c r="AA70" s="113">
        <v>0.14899999999999999</v>
      </c>
      <c r="AB70" s="113"/>
      <c r="AC70" s="113"/>
      <c r="AD70" s="348">
        <f t="shared" si="2"/>
        <v>0.99999999999999389</v>
      </c>
      <c r="AE70" s="348"/>
      <c r="AF70" s="348">
        <f t="shared" si="3"/>
        <v>0.99999999999999389</v>
      </c>
      <c r="AG70" s="348"/>
      <c r="AH70" s="348"/>
    </row>
    <row r="71" spans="1:34" ht="31.5">
      <c r="A71" s="347" t="s">
        <v>23</v>
      </c>
      <c r="B71" s="337" t="s">
        <v>333</v>
      </c>
      <c r="C71" s="347"/>
      <c r="D71" s="347"/>
      <c r="E71" s="369"/>
      <c r="F71" s="369" t="s">
        <v>334</v>
      </c>
      <c r="G71" s="113">
        <v>1427.164</v>
      </c>
      <c r="H71" s="113"/>
      <c r="I71" s="113"/>
      <c r="J71" s="113"/>
      <c r="K71" s="113">
        <v>1427.164</v>
      </c>
      <c r="L71" s="113"/>
      <c r="M71" s="113"/>
      <c r="N71" s="113"/>
      <c r="O71" s="113"/>
      <c r="P71" s="113"/>
      <c r="Q71" s="113"/>
      <c r="R71" s="113"/>
      <c r="S71" s="113"/>
      <c r="T71" s="113">
        <v>437.87900000000002</v>
      </c>
      <c r="U71" s="113"/>
      <c r="V71" s="113"/>
      <c r="W71" s="113"/>
      <c r="X71" s="113">
        <v>437.87900000000002</v>
      </c>
      <c r="Y71" s="113">
        <v>427.83199999999999</v>
      </c>
      <c r="Z71" s="113"/>
      <c r="AA71" s="113"/>
      <c r="AB71" s="113"/>
      <c r="AC71" s="113">
        <v>427.83199999999999</v>
      </c>
      <c r="AD71" s="348">
        <f t="shared" si="2"/>
        <v>0.9770553052327241</v>
      </c>
      <c r="AE71" s="348"/>
      <c r="AF71" s="348"/>
      <c r="AG71" s="348"/>
      <c r="AH71" s="348">
        <f>AC71/X71</f>
        <v>0.9770553052327241</v>
      </c>
    </row>
    <row r="72" spans="1:34" s="346" customFormat="1" ht="31.5">
      <c r="A72" s="334">
        <v>12</v>
      </c>
      <c r="B72" s="335" t="s">
        <v>138</v>
      </c>
      <c r="C72" s="334"/>
      <c r="D72" s="334"/>
      <c r="E72" s="357"/>
      <c r="F72" s="357"/>
      <c r="G72" s="345"/>
      <c r="H72" s="345"/>
      <c r="I72" s="345"/>
      <c r="J72" s="345"/>
      <c r="K72" s="345"/>
      <c r="L72" s="345"/>
      <c r="M72" s="345"/>
      <c r="N72" s="345"/>
      <c r="O72" s="345"/>
      <c r="P72" s="345"/>
      <c r="Q72" s="345"/>
      <c r="R72" s="345"/>
      <c r="S72" s="345"/>
      <c r="T72" s="345"/>
      <c r="U72" s="345"/>
      <c r="V72" s="345"/>
      <c r="W72" s="345"/>
      <c r="X72" s="345"/>
      <c r="Y72" s="345"/>
      <c r="Z72" s="345"/>
      <c r="AA72" s="345"/>
      <c r="AB72" s="345"/>
      <c r="AC72" s="345"/>
      <c r="AD72" s="348"/>
      <c r="AE72" s="348"/>
      <c r="AF72" s="348"/>
      <c r="AG72" s="348"/>
      <c r="AH72" s="348"/>
    </row>
    <row r="73" spans="1:34" ht="47.25">
      <c r="A73" s="347" t="s">
        <v>23</v>
      </c>
      <c r="B73" s="337" t="s">
        <v>335</v>
      </c>
      <c r="C73" s="347"/>
      <c r="D73" s="347"/>
      <c r="E73" s="369"/>
      <c r="F73" s="369" t="s">
        <v>336</v>
      </c>
      <c r="G73" s="113">
        <v>2372.7820000000002</v>
      </c>
      <c r="H73" s="113"/>
      <c r="I73" s="113"/>
      <c r="J73" s="113"/>
      <c r="K73" s="113">
        <v>2372.7820000000002</v>
      </c>
      <c r="L73" s="113">
        <v>1900</v>
      </c>
      <c r="M73" s="113"/>
      <c r="N73" s="113"/>
      <c r="O73" s="113">
        <v>1900</v>
      </c>
      <c r="P73" s="113">
        <v>1900</v>
      </c>
      <c r="Q73" s="113"/>
      <c r="R73" s="113"/>
      <c r="S73" s="113"/>
      <c r="T73" s="113">
        <v>1900</v>
      </c>
      <c r="U73" s="113"/>
      <c r="V73" s="113"/>
      <c r="W73" s="113"/>
      <c r="X73" s="113">
        <v>1900</v>
      </c>
      <c r="Y73" s="113">
        <v>1560.7128</v>
      </c>
      <c r="Z73" s="113"/>
      <c r="AA73" s="113"/>
      <c r="AB73" s="113"/>
      <c r="AC73" s="113">
        <v>1560.7128</v>
      </c>
      <c r="AD73" s="348">
        <f t="shared" si="2"/>
        <v>0.82142778947368422</v>
      </c>
      <c r="AE73" s="348"/>
      <c r="AF73" s="348"/>
      <c r="AG73" s="348"/>
      <c r="AH73" s="348">
        <f>AC73/X73</f>
        <v>0.82142778947368422</v>
      </c>
    </row>
    <row r="74" spans="1:34" s="346" customFormat="1" ht="31.5">
      <c r="A74" s="334">
        <v>13</v>
      </c>
      <c r="B74" s="335" t="s">
        <v>139</v>
      </c>
      <c r="C74" s="334"/>
      <c r="D74" s="334"/>
      <c r="E74" s="357"/>
      <c r="F74" s="357"/>
      <c r="G74" s="345"/>
      <c r="H74" s="345"/>
      <c r="I74" s="345"/>
      <c r="J74" s="345"/>
      <c r="K74" s="345"/>
      <c r="L74" s="345"/>
      <c r="M74" s="345"/>
      <c r="N74" s="345"/>
      <c r="O74" s="345"/>
      <c r="P74" s="345"/>
      <c r="Q74" s="345"/>
      <c r="R74" s="345"/>
      <c r="S74" s="345"/>
      <c r="T74" s="345"/>
      <c r="U74" s="345"/>
      <c r="V74" s="345"/>
      <c r="W74" s="345"/>
      <c r="X74" s="345"/>
      <c r="Y74" s="345"/>
      <c r="Z74" s="345"/>
      <c r="AA74" s="345"/>
      <c r="AB74" s="345"/>
      <c r="AC74" s="345"/>
      <c r="AD74" s="348"/>
      <c r="AE74" s="348"/>
      <c r="AF74" s="348"/>
      <c r="AG74" s="348"/>
      <c r="AH74" s="348"/>
    </row>
    <row r="75" spans="1:34">
      <c r="A75" s="347" t="s">
        <v>23</v>
      </c>
      <c r="B75" s="337" t="s">
        <v>337</v>
      </c>
      <c r="C75" s="347"/>
      <c r="D75" s="347"/>
      <c r="E75" s="369"/>
      <c r="F75" s="369"/>
      <c r="G75" s="113"/>
      <c r="H75" s="113"/>
      <c r="I75" s="113"/>
      <c r="J75" s="113"/>
      <c r="K75" s="113"/>
      <c r="L75" s="113"/>
      <c r="M75" s="113"/>
      <c r="N75" s="113"/>
      <c r="O75" s="113"/>
      <c r="P75" s="113"/>
      <c r="Q75" s="113"/>
      <c r="R75" s="113"/>
      <c r="S75" s="113"/>
      <c r="T75" s="113">
        <v>613.6</v>
      </c>
      <c r="U75" s="113"/>
      <c r="V75" s="113">
        <v>613.6</v>
      </c>
      <c r="W75" s="113"/>
      <c r="X75" s="113"/>
      <c r="Y75" s="113">
        <v>301.63850000000002</v>
      </c>
      <c r="Z75" s="113"/>
      <c r="AA75" s="113">
        <v>301.63850000000002</v>
      </c>
      <c r="AB75" s="113"/>
      <c r="AC75" s="113"/>
      <c r="AD75" s="348">
        <f t="shared" si="2"/>
        <v>0.49158816818774448</v>
      </c>
      <c r="AE75" s="348"/>
      <c r="AF75" s="348">
        <f t="shared" si="3"/>
        <v>0.49158816818774448</v>
      </c>
      <c r="AG75" s="348"/>
      <c r="AH75" s="348"/>
    </row>
    <row r="76" spans="1:34" s="346" customFormat="1" ht="31.5">
      <c r="A76" s="334">
        <v>14</v>
      </c>
      <c r="B76" s="335" t="s">
        <v>140</v>
      </c>
      <c r="C76" s="334"/>
      <c r="D76" s="334"/>
      <c r="E76" s="357"/>
      <c r="F76" s="357"/>
      <c r="G76" s="345"/>
      <c r="H76" s="345"/>
      <c r="I76" s="345"/>
      <c r="J76" s="345"/>
      <c r="K76" s="345"/>
      <c r="L76" s="345"/>
      <c r="M76" s="345"/>
      <c r="N76" s="345"/>
      <c r="O76" s="345"/>
      <c r="P76" s="345"/>
      <c r="Q76" s="345"/>
      <c r="R76" s="345"/>
      <c r="S76" s="345"/>
      <c r="T76" s="345"/>
      <c r="U76" s="345"/>
      <c r="V76" s="345"/>
      <c r="W76" s="345"/>
      <c r="X76" s="345"/>
      <c r="Y76" s="345"/>
      <c r="Z76" s="345"/>
      <c r="AA76" s="345"/>
      <c r="AB76" s="345"/>
      <c r="AC76" s="345"/>
      <c r="AD76" s="348"/>
      <c r="AE76" s="348"/>
      <c r="AF76" s="348"/>
      <c r="AG76" s="348"/>
      <c r="AH76" s="348"/>
    </row>
    <row r="77" spans="1:34">
      <c r="A77" s="347" t="s">
        <v>23</v>
      </c>
      <c r="B77" s="337" t="s">
        <v>338</v>
      </c>
      <c r="C77" s="347"/>
      <c r="D77" s="347"/>
      <c r="E77" s="369"/>
      <c r="F77" s="369"/>
      <c r="G77" s="113"/>
      <c r="H77" s="113"/>
      <c r="I77" s="113"/>
      <c r="J77" s="113"/>
      <c r="K77" s="113"/>
      <c r="L77" s="113"/>
      <c r="M77" s="113"/>
      <c r="N77" s="113"/>
      <c r="O77" s="113"/>
      <c r="P77" s="113"/>
      <c r="Q77" s="113"/>
      <c r="R77" s="113"/>
      <c r="S77" s="113"/>
      <c r="T77" s="113">
        <v>304.60000000000002</v>
      </c>
      <c r="U77" s="113"/>
      <c r="V77" s="113">
        <v>304.60000000000002</v>
      </c>
      <c r="W77" s="113"/>
      <c r="X77" s="113"/>
      <c r="Y77" s="113">
        <v>0</v>
      </c>
      <c r="Z77" s="113"/>
      <c r="AA77" s="113"/>
      <c r="AB77" s="113"/>
      <c r="AC77" s="113"/>
      <c r="AD77" s="348">
        <f t="shared" ref="AD77:AE141" si="5">Y77/T77</f>
        <v>0</v>
      </c>
      <c r="AE77" s="348"/>
      <c r="AF77" s="348">
        <f t="shared" ref="AF77:AF138" si="6">AA77/V77</f>
        <v>0</v>
      </c>
      <c r="AG77" s="348"/>
      <c r="AH77" s="348"/>
    </row>
    <row r="78" spans="1:34" s="346" customFormat="1" ht="31.5">
      <c r="A78" s="334">
        <v>15</v>
      </c>
      <c r="B78" s="335" t="s">
        <v>141</v>
      </c>
      <c r="C78" s="334"/>
      <c r="D78" s="334"/>
      <c r="E78" s="357"/>
      <c r="F78" s="357"/>
      <c r="G78" s="345"/>
      <c r="H78" s="345"/>
      <c r="I78" s="345"/>
      <c r="J78" s="345"/>
      <c r="K78" s="345"/>
      <c r="L78" s="345"/>
      <c r="M78" s="345"/>
      <c r="N78" s="345"/>
      <c r="O78" s="345"/>
      <c r="P78" s="345"/>
      <c r="Q78" s="345"/>
      <c r="R78" s="345"/>
      <c r="S78" s="345"/>
      <c r="T78" s="345"/>
      <c r="U78" s="345"/>
      <c r="V78" s="345"/>
      <c r="W78" s="345"/>
      <c r="X78" s="345"/>
      <c r="Y78" s="345"/>
      <c r="Z78" s="345"/>
      <c r="AA78" s="345"/>
      <c r="AB78" s="345"/>
      <c r="AC78" s="345"/>
      <c r="AD78" s="348"/>
      <c r="AE78" s="348"/>
      <c r="AF78" s="348"/>
      <c r="AG78" s="348"/>
      <c r="AH78" s="348"/>
    </row>
    <row r="79" spans="1:34">
      <c r="A79" s="347" t="s">
        <v>23</v>
      </c>
      <c r="B79" s="337" t="s">
        <v>339</v>
      </c>
      <c r="C79" s="347"/>
      <c r="D79" s="347"/>
      <c r="E79" s="369"/>
      <c r="F79" s="369"/>
      <c r="G79" s="113"/>
      <c r="H79" s="113"/>
      <c r="I79" s="113"/>
      <c r="J79" s="113"/>
      <c r="K79" s="113"/>
      <c r="L79" s="113"/>
      <c r="M79" s="113"/>
      <c r="N79" s="113"/>
      <c r="O79" s="113"/>
      <c r="P79" s="113"/>
      <c r="Q79" s="113"/>
      <c r="R79" s="113"/>
      <c r="S79" s="113"/>
      <c r="T79" s="113">
        <v>216.97807000000012</v>
      </c>
      <c r="U79" s="113"/>
      <c r="V79" s="113">
        <v>216.97807000000012</v>
      </c>
      <c r="W79" s="113"/>
      <c r="X79" s="113"/>
      <c r="Y79" s="113">
        <v>0</v>
      </c>
      <c r="Z79" s="113"/>
      <c r="AA79" s="113"/>
      <c r="AB79" s="113"/>
      <c r="AC79" s="113"/>
      <c r="AD79" s="348">
        <f t="shared" si="5"/>
        <v>0</v>
      </c>
      <c r="AE79" s="348"/>
      <c r="AF79" s="348">
        <f t="shared" si="6"/>
        <v>0</v>
      </c>
      <c r="AG79" s="348"/>
      <c r="AH79" s="348"/>
    </row>
    <row r="80" spans="1:34" s="346" customFormat="1" ht="31.5">
      <c r="A80" s="334">
        <v>16</v>
      </c>
      <c r="B80" s="335" t="s">
        <v>142</v>
      </c>
      <c r="C80" s="334"/>
      <c r="D80" s="334"/>
      <c r="E80" s="357"/>
      <c r="F80" s="357"/>
      <c r="G80" s="345"/>
      <c r="H80" s="345"/>
      <c r="I80" s="345"/>
      <c r="J80" s="345"/>
      <c r="K80" s="345"/>
      <c r="L80" s="345"/>
      <c r="M80" s="345"/>
      <c r="N80" s="345"/>
      <c r="O80" s="345"/>
      <c r="P80" s="345"/>
      <c r="Q80" s="345"/>
      <c r="R80" s="345"/>
      <c r="S80" s="345"/>
      <c r="T80" s="345"/>
      <c r="U80" s="345"/>
      <c r="V80" s="345"/>
      <c r="W80" s="345"/>
      <c r="X80" s="345"/>
      <c r="Y80" s="345"/>
      <c r="Z80" s="345"/>
      <c r="AA80" s="345"/>
      <c r="AB80" s="345"/>
      <c r="AC80" s="345"/>
      <c r="AD80" s="348"/>
      <c r="AE80" s="348"/>
      <c r="AF80" s="348"/>
      <c r="AG80" s="348"/>
      <c r="AH80" s="348"/>
    </row>
    <row r="81" spans="1:34">
      <c r="A81" s="347"/>
      <c r="B81" s="337" t="s">
        <v>340</v>
      </c>
      <c r="C81" s="347"/>
      <c r="D81" s="347"/>
      <c r="E81" s="369"/>
      <c r="F81" s="369"/>
      <c r="G81" s="113"/>
      <c r="H81" s="113"/>
      <c r="I81" s="113"/>
      <c r="J81" s="113"/>
      <c r="K81" s="113"/>
      <c r="L81" s="113"/>
      <c r="M81" s="113"/>
      <c r="N81" s="113"/>
      <c r="O81" s="113"/>
      <c r="P81" s="113"/>
      <c r="Q81" s="113"/>
      <c r="R81" s="113"/>
      <c r="S81" s="113"/>
      <c r="T81" s="113">
        <v>2011.8150000000001</v>
      </c>
      <c r="U81" s="113"/>
      <c r="V81" s="113">
        <v>2011.8150000000001</v>
      </c>
      <c r="W81" s="113"/>
      <c r="X81" s="113"/>
      <c r="Y81" s="113">
        <v>307.45999999999998</v>
      </c>
      <c r="Z81" s="113"/>
      <c r="AA81" s="113">
        <v>307.45999999999998</v>
      </c>
      <c r="AB81" s="113"/>
      <c r="AC81" s="113"/>
      <c r="AD81" s="348">
        <f t="shared" si="5"/>
        <v>0.15282717347270997</v>
      </c>
      <c r="AE81" s="348"/>
      <c r="AF81" s="348">
        <f t="shared" si="6"/>
        <v>0.15282717347270997</v>
      </c>
      <c r="AG81" s="348"/>
      <c r="AH81" s="348"/>
    </row>
    <row r="82" spans="1:34" s="346" customFormat="1" ht="31.5">
      <c r="A82" s="334">
        <v>17</v>
      </c>
      <c r="B82" s="335" t="s">
        <v>143</v>
      </c>
      <c r="C82" s="334"/>
      <c r="D82" s="334"/>
      <c r="E82" s="357"/>
      <c r="F82" s="357"/>
      <c r="G82" s="345"/>
      <c r="H82" s="345"/>
      <c r="I82" s="345"/>
      <c r="J82" s="345"/>
      <c r="K82" s="345"/>
      <c r="L82" s="345"/>
      <c r="M82" s="345"/>
      <c r="N82" s="345"/>
      <c r="O82" s="345"/>
      <c r="P82" s="345"/>
      <c r="Q82" s="345"/>
      <c r="R82" s="345"/>
      <c r="S82" s="345"/>
      <c r="T82" s="345"/>
      <c r="U82" s="345"/>
      <c r="V82" s="345"/>
      <c r="W82" s="345"/>
      <c r="X82" s="345"/>
      <c r="Y82" s="345"/>
      <c r="Z82" s="345"/>
      <c r="AA82" s="345"/>
      <c r="AB82" s="345"/>
      <c r="AC82" s="345"/>
      <c r="AD82" s="348"/>
      <c r="AE82" s="348"/>
      <c r="AF82" s="348"/>
      <c r="AG82" s="348"/>
      <c r="AH82" s="348"/>
    </row>
    <row r="83" spans="1:34" ht="31.5">
      <c r="A83" s="347" t="s">
        <v>23</v>
      </c>
      <c r="B83" s="337" t="s">
        <v>341</v>
      </c>
      <c r="C83" s="347"/>
      <c r="D83" s="347"/>
      <c r="E83" s="369"/>
      <c r="F83" s="369"/>
      <c r="G83" s="113"/>
      <c r="H83" s="113"/>
      <c r="I83" s="113"/>
      <c r="J83" s="113"/>
      <c r="K83" s="113"/>
      <c r="L83" s="113"/>
      <c r="M83" s="113"/>
      <c r="N83" s="113"/>
      <c r="O83" s="113"/>
      <c r="P83" s="113"/>
      <c r="Q83" s="113"/>
      <c r="R83" s="113"/>
      <c r="S83" s="113"/>
      <c r="T83" s="113">
        <v>421.37659999999994</v>
      </c>
      <c r="U83" s="113"/>
      <c r="V83" s="113">
        <v>421.37659999999994</v>
      </c>
      <c r="W83" s="113"/>
      <c r="X83" s="113"/>
      <c r="Y83" s="113">
        <v>0</v>
      </c>
      <c r="Z83" s="113"/>
      <c r="AA83" s="113"/>
      <c r="AB83" s="113"/>
      <c r="AC83" s="113"/>
      <c r="AD83" s="348">
        <f t="shared" si="5"/>
        <v>0</v>
      </c>
      <c r="AE83" s="348"/>
      <c r="AF83" s="348">
        <f t="shared" si="6"/>
        <v>0</v>
      </c>
      <c r="AG83" s="348"/>
      <c r="AH83" s="348"/>
    </row>
    <row r="84" spans="1:34" s="346" customFormat="1" ht="31.5">
      <c r="A84" s="334">
        <v>18</v>
      </c>
      <c r="B84" s="335" t="s">
        <v>144</v>
      </c>
      <c r="C84" s="334"/>
      <c r="D84" s="334"/>
      <c r="E84" s="357"/>
      <c r="F84" s="357"/>
      <c r="G84" s="345"/>
      <c r="H84" s="345"/>
      <c r="I84" s="345"/>
      <c r="J84" s="345"/>
      <c r="K84" s="345"/>
      <c r="L84" s="345"/>
      <c r="M84" s="345"/>
      <c r="N84" s="345"/>
      <c r="O84" s="345"/>
      <c r="P84" s="345"/>
      <c r="Q84" s="345"/>
      <c r="R84" s="345"/>
      <c r="S84" s="345"/>
      <c r="T84" s="345"/>
      <c r="U84" s="345"/>
      <c r="V84" s="345"/>
      <c r="W84" s="345"/>
      <c r="X84" s="345"/>
      <c r="Y84" s="345"/>
      <c r="Z84" s="345"/>
      <c r="AA84" s="345"/>
      <c r="AB84" s="345"/>
      <c r="AC84" s="345"/>
      <c r="AD84" s="348"/>
      <c r="AE84" s="348"/>
      <c r="AF84" s="348"/>
      <c r="AG84" s="348"/>
      <c r="AH84" s="348"/>
    </row>
    <row r="85" spans="1:34">
      <c r="A85" s="347" t="s">
        <v>23</v>
      </c>
      <c r="B85" s="337" t="s">
        <v>342</v>
      </c>
      <c r="C85" s="347"/>
      <c r="D85" s="347"/>
      <c r="E85" s="369"/>
      <c r="F85" s="369"/>
      <c r="G85" s="113"/>
      <c r="H85" s="113"/>
      <c r="I85" s="113"/>
      <c r="J85" s="113"/>
      <c r="K85" s="113"/>
      <c r="L85" s="113"/>
      <c r="M85" s="113"/>
      <c r="N85" s="113"/>
      <c r="O85" s="113"/>
      <c r="P85" s="113"/>
      <c r="Q85" s="113"/>
      <c r="R85" s="113"/>
      <c r="S85" s="113"/>
      <c r="T85" s="113">
        <v>1.95</v>
      </c>
      <c r="U85" s="113"/>
      <c r="V85" s="113">
        <v>1.95</v>
      </c>
      <c r="W85" s="113"/>
      <c r="X85" s="113"/>
      <c r="Y85" s="113">
        <v>0</v>
      </c>
      <c r="Z85" s="113"/>
      <c r="AA85" s="113"/>
      <c r="AB85" s="113"/>
      <c r="AC85" s="113"/>
      <c r="AD85" s="348">
        <f t="shared" si="5"/>
        <v>0</v>
      </c>
      <c r="AE85" s="348"/>
      <c r="AF85" s="348">
        <f t="shared" si="6"/>
        <v>0</v>
      </c>
      <c r="AG85" s="348"/>
      <c r="AH85" s="348"/>
    </row>
    <row r="86" spans="1:34" s="346" customFormat="1" ht="31.5">
      <c r="A86" s="334">
        <v>19</v>
      </c>
      <c r="B86" s="335" t="s">
        <v>145</v>
      </c>
      <c r="C86" s="334"/>
      <c r="D86" s="334"/>
      <c r="E86" s="357"/>
      <c r="F86" s="357"/>
      <c r="G86" s="345"/>
      <c r="H86" s="345"/>
      <c r="I86" s="345"/>
      <c r="J86" s="345"/>
      <c r="K86" s="345"/>
      <c r="L86" s="345"/>
      <c r="M86" s="345"/>
      <c r="N86" s="345"/>
      <c r="O86" s="345"/>
      <c r="P86" s="345"/>
      <c r="Q86" s="345"/>
      <c r="R86" s="345"/>
      <c r="S86" s="345"/>
      <c r="T86" s="345"/>
      <c r="U86" s="345"/>
      <c r="V86" s="345"/>
      <c r="W86" s="345"/>
      <c r="X86" s="345"/>
      <c r="Y86" s="345"/>
      <c r="Z86" s="345"/>
      <c r="AA86" s="345"/>
      <c r="AB86" s="345"/>
      <c r="AC86" s="345"/>
      <c r="AD86" s="348"/>
      <c r="AE86" s="348"/>
      <c r="AF86" s="348"/>
      <c r="AG86" s="348"/>
      <c r="AH86" s="348"/>
    </row>
    <row r="87" spans="1:34">
      <c r="A87" s="347" t="s">
        <v>23</v>
      </c>
      <c r="B87" s="337" t="s">
        <v>343</v>
      </c>
      <c r="C87" s="347"/>
      <c r="D87" s="347"/>
      <c r="E87" s="369"/>
      <c r="F87" s="369"/>
      <c r="G87" s="113"/>
      <c r="H87" s="113"/>
      <c r="I87" s="113"/>
      <c r="J87" s="113"/>
      <c r="K87" s="113"/>
      <c r="L87" s="113"/>
      <c r="M87" s="113"/>
      <c r="N87" s="113"/>
      <c r="O87" s="113"/>
      <c r="P87" s="113"/>
      <c r="Q87" s="113"/>
      <c r="R87" s="113"/>
      <c r="S87" s="113"/>
      <c r="T87" s="113">
        <v>403.75200000000001</v>
      </c>
      <c r="U87" s="113"/>
      <c r="V87" s="113">
        <v>403.75200000000001</v>
      </c>
      <c r="W87" s="113"/>
      <c r="X87" s="113"/>
      <c r="Y87" s="113">
        <v>0</v>
      </c>
      <c r="Z87" s="113"/>
      <c r="AA87" s="113"/>
      <c r="AB87" s="113"/>
      <c r="AC87" s="113"/>
      <c r="AD87" s="348">
        <f t="shared" si="5"/>
        <v>0</v>
      </c>
      <c r="AE87" s="348"/>
      <c r="AF87" s="348">
        <f t="shared" si="6"/>
        <v>0</v>
      </c>
      <c r="AG87" s="348"/>
      <c r="AH87" s="348"/>
    </row>
    <row r="88" spans="1:34" s="346" customFormat="1" ht="31.5">
      <c r="A88" s="334">
        <v>20</v>
      </c>
      <c r="B88" s="335" t="s">
        <v>146</v>
      </c>
      <c r="C88" s="334"/>
      <c r="D88" s="334"/>
      <c r="E88" s="357"/>
      <c r="F88" s="357"/>
      <c r="G88" s="345"/>
      <c r="H88" s="345"/>
      <c r="I88" s="345"/>
      <c r="J88" s="345"/>
      <c r="K88" s="345"/>
      <c r="L88" s="345"/>
      <c r="M88" s="345"/>
      <c r="N88" s="345"/>
      <c r="O88" s="345"/>
      <c r="P88" s="345"/>
      <c r="Q88" s="345"/>
      <c r="R88" s="345"/>
      <c r="S88" s="345"/>
      <c r="T88" s="345"/>
      <c r="U88" s="345"/>
      <c r="V88" s="345"/>
      <c r="W88" s="345"/>
      <c r="X88" s="345"/>
      <c r="Y88" s="345"/>
      <c r="Z88" s="345"/>
      <c r="AA88" s="345"/>
      <c r="AB88" s="345"/>
      <c r="AC88" s="345"/>
      <c r="AD88" s="348"/>
      <c r="AE88" s="348"/>
      <c r="AF88" s="348"/>
      <c r="AG88" s="348"/>
      <c r="AH88" s="348"/>
    </row>
    <row r="89" spans="1:34">
      <c r="A89" s="347" t="s">
        <v>23</v>
      </c>
      <c r="B89" s="337" t="s">
        <v>344</v>
      </c>
      <c r="C89" s="347"/>
      <c r="D89" s="347"/>
      <c r="E89" s="369"/>
      <c r="F89" s="369"/>
      <c r="G89" s="113"/>
      <c r="H89" s="113"/>
      <c r="I89" s="113"/>
      <c r="J89" s="113"/>
      <c r="K89" s="113"/>
      <c r="L89" s="113"/>
      <c r="M89" s="113"/>
      <c r="N89" s="113"/>
      <c r="O89" s="113"/>
      <c r="P89" s="113"/>
      <c r="Q89" s="113"/>
      <c r="R89" s="113"/>
      <c r="S89" s="113"/>
      <c r="T89" s="113">
        <v>94.50001199999997</v>
      </c>
      <c r="U89" s="113"/>
      <c r="V89" s="113">
        <v>94.50001199999997</v>
      </c>
      <c r="W89" s="113"/>
      <c r="X89" s="113"/>
      <c r="Y89" s="113">
        <v>0</v>
      </c>
      <c r="Z89" s="113"/>
      <c r="AA89" s="113"/>
      <c r="AB89" s="113"/>
      <c r="AC89" s="113"/>
      <c r="AD89" s="348">
        <f t="shared" si="5"/>
        <v>0</v>
      </c>
      <c r="AE89" s="348"/>
      <c r="AF89" s="348">
        <f t="shared" si="6"/>
        <v>0</v>
      </c>
      <c r="AG89" s="348"/>
      <c r="AH89" s="348"/>
    </row>
    <row r="90" spans="1:34" s="346" customFormat="1">
      <c r="A90" s="334">
        <v>21</v>
      </c>
      <c r="B90" s="335" t="s">
        <v>147</v>
      </c>
      <c r="C90" s="334"/>
      <c r="D90" s="334"/>
      <c r="E90" s="357"/>
      <c r="F90" s="357"/>
      <c r="G90" s="345"/>
      <c r="H90" s="345"/>
      <c r="I90" s="345"/>
      <c r="J90" s="345"/>
      <c r="K90" s="345"/>
      <c r="L90" s="345"/>
      <c r="M90" s="345"/>
      <c r="N90" s="345"/>
      <c r="O90" s="345"/>
      <c r="P90" s="345"/>
      <c r="Q90" s="345"/>
      <c r="R90" s="345"/>
      <c r="S90" s="345"/>
      <c r="T90" s="345"/>
      <c r="U90" s="345"/>
      <c r="V90" s="345"/>
      <c r="W90" s="345"/>
      <c r="X90" s="345"/>
      <c r="Y90" s="345"/>
      <c r="Z90" s="345"/>
      <c r="AA90" s="345"/>
      <c r="AB90" s="345"/>
      <c r="AC90" s="345"/>
      <c r="AD90" s="348"/>
      <c r="AE90" s="348"/>
      <c r="AF90" s="348"/>
      <c r="AG90" s="348"/>
      <c r="AH90" s="348"/>
    </row>
    <row r="91" spans="1:34" ht="47.25">
      <c r="A91" s="347" t="s">
        <v>23</v>
      </c>
      <c r="B91" s="337" t="s">
        <v>345</v>
      </c>
      <c r="C91" s="347" t="s">
        <v>213</v>
      </c>
      <c r="D91" s="347"/>
      <c r="E91" s="369" t="s">
        <v>346</v>
      </c>
      <c r="F91" s="369" t="s">
        <v>347</v>
      </c>
      <c r="G91" s="113" t="s">
        <v>348</v>
      </c>
      <c r="H91" s="113"/>
      <c r="I91" s="113"/>
      <c r="J91" s="113"/>
      <c r="K91" s="113" t="s">
        <v>348</v>
      </c>
      <c r="L91" s="113" t="s">
        <v>349</v>
      </c>
      <c r="M91" s="113"/>
      <c r="N91" s="113"/>
      <c r="O91" s="113" t="s">
        <v>349</v>
      </c>
      <c r="P91" s="113">
        <v>1400</v>
      </c>
      <c r="Q91" s="113"/>
      <c r="R91" s="113"/>
      <c r="S91" s="113">
        <v>1400</v>
      </c>
      <c r="T91" s="113">
        <v>1400</v>
      </c>
      <c r="U91" s="113"/>
      <c r="V91" s="113"/>
      <c r="W91" s="113"/>
      <c r="X91" s="113">
        <v>1400</v>
      </c>
      <c r="Y91" s="113">
        <v>1357.7075</v>
      </c>
      <c r="Z91" s="113"/>
      <c r="AA91" s="113"/>
      <c r="AB91" s="113"/>
      <c r="AC91" s="113">
        <v>1357.7075</v>
      </c>
      <c r="AD91" s="348">
        <f t="shared" si="5"/>
        <v>0.96979107142857146</v>
      </c>
      <c r="AE91" s="348"/>
      <c r="AF91" s="348"/>
      <c r="AG91" s="348"/>
      <c r="AH91" s="348">
        <f>AC91/X91</f>
        <v>0.96979107142857146</v>
      </c>
    </row>
    <row r="92" spans="1:34" s="346" customFormat="1">
      <c r="A92" s="334">
        <v>22</v>
      </c>
      <c r="B92" s="335" t="s">
        <v>148</v>
      </c>
      <c r="C92" s="334"/>
      <c r="D92" s="334"/>
      <c r="E92" s="357"/>
      <c r="F92" s="357"/>
      <c r="G92" s="345"/>
      <c r="H92" s="345"/>
      <c r="I92" s="345"/>
      <c r="J92" s="345"/>
      <c r="K92" s="345"/>
      <c r="L92" s="345"/>
      <c r="M92" s="345"/>
      <c r="N92" s="345"/>
      <c r="O92" s="345"/>
      <c r="P92" s="345"/>
      <c r="Q92" s="345"/>
      <c r="R92" s="345"/>
      <c r="S92" s="345"/>
      <c r="T92" s="345"/>
      <c r="U92" s="345"/>
      <c r="V92" s="345"/>
      <c r="W92" s="345"/>
      <c r="X92" s="345"/>
      <c r="Y92" s="345"/>
      <c r="Z92" s="345"/>
      <c r="AA92" s="345"/>
      <c r="AB92" s="345"/>
      <c r="AC92" s="345"/>
      <c r="AD92" s="348"/>
      <c r="AE92" s="348"/>
      <c r="AF92" s="348"/>
      <c r="AG92" s="348"/>
      <c r="AH92" s="348"/>
    </row>
    <row r="93" spans="1:34" ht="31.5">
      <c r="A93" s="347" t="s">
        <v>23</v>
      </c>
      <c r="B93" s="337" t="s">
        <v>350</v>
      </c>
      <c r="C93" s="347" t="s">
        <v>351</v>
      </c>
      <c r="D93" s="347"/>
      <c r="E93" s="369" t="s">
        <v>352</v>
      </c>
      <c r="F93" s="369" t="s">
        <v>353</v>
      </c>
      <c r="G93" s="113">
        <v>136394</v>
      </c>
      <c r="H93" s="113"/>
      <c r="I93" s="113"/>
      <c r="J93" s="113"/>
      <c r="K93" s="113">
        <v>25224</v>
      </c>
      <c r="L93" s="113">
        <v>72575</v>
      </c>
      <c r="M93" s="113"/>
      <c r="N93" s="113"/>
      <c r="O93" s="113">
        <v>25224</v>
      </c>
      <c r="P93" s="113">
        <v>1900</v>
      </c>
      <c r="Q93" s="113"/>
      <c r="R93" s="113"/>
      <c r="S93" s="113">
        <v>1900</v>
      </c>
      <c r="T93" s="113">
        <v>4804</v>
      </c>
      <c r="U93" s="113"/>
      <c r="V93" s="113"/>
      <c r="W93" s="113"/>
      <c r="X93" s="113">
        <v>4804</v>
      </c>
      <c r="Y93" s="113">
        <v>4804</v>
      </c>
      <c r="Z93" s="113"/>
      <c r="AA93" s="113"/>
      <c r="AB93" s="113"/>
      <c r="AC93" s="113">
        <v>4804</v>
      </c>
      <c r="AD93" s="348">
        <f t="shared" si="5"/>
        <v>1</v>
      </c>
      <c r="AE93" s="348"/>
      <c r="AF93" s="348"/>
      <c r="AG93" s="348"/>
      <c r="AH93" s="348">
        <f t="shared" ref="AH93:AH98" si="7">AC93/X93</f>
        <v>1</v>
      </c>
    </row>
    <row r="94" spans="1:34" ht="31.5">
      <c r="A94" s="347" t="s">
        <v>23</v>
      </c>
      <c r="B94" s="337" t="s">
        <v>354</v>
      </c>
      <c r="C94" s="347" t="s">
        <v>355</v>
      </c>
      <c r="D94" s="347"/>
      <c r="E94" s="369" t="s">
        <v>356</v>
      </c>
      <c r="F94" s="369" t="s">
        <v>357</v>
      </c>
      <c r="G94" s="113">
        <v>5213</v>
      </c>
      <c r="H94" s="113"/>
      <c r="I94" s="113"/>
      <c r="J94" s="113"/>
      <c r="K94" s="113">
        <v>5213</v>
      </c>
      <c r="L94" s="113">
        <v>5213</v>
      </c>
      <c r="M94" s="113"/>
      <c r="N94" s="113"/>
      <c r="O94" s="113">
        <v>5213</v>
      </c>
      <c r="P94" s="113">
        <v>2710</v>
      </c>
      <c r="Q94" s="113"/>
      <c r="R94" s="113"/>
      <c r="S94" s="113">
        <v>2710</v>
      </c>
      <c r="T94" s="113">
        <v>1077.7717359999999</v>
      </c>
      <c r="U94" s="113"/>
      <c r="V94" s="113"/>
      <c r="W94" s="113"/>
      <c r="X94" s="113">
        <v>1077.7717359999999</v>
      </c>
      <c r="Y94" s="113">
        <v>1055.4627359999999</v>
      </c>
      <c r="Z94" s="113"/>
      <c r="AA94" s="113"/>
      <c r="AB94" s="113"/>
      <c r="AC94" s="113">
        <v>1055.4627359999999</v>
      </c>
      <c r="AD94" s="348">
        <f t="shared" si="5"/>
        <v>0.9793008118000972</v>
      </c>
      <c r="AE94" s="348"/>
      <c r="AF94" s="348"/>
      <c r="AG94" s="348"/>
      <c r="AH94" s="348">
        <f t="shared" si="7"/>
        <v>0.9793008118000972</v>
      </c>
    </row>
    <row r="95" spans="1:34" ht="31.5">
      <c r="A95" s="347" t="s">
        <v>23</v>
      </c>
      <c r="B95" s="337" t="s">
        <v>358</v>
      </c>
      <c r="C95" s="347"/>
      <c r="D95" s="347"/>
      <c r="E95" s="369" t="s">
        <v>359</v>
      </c>
      <c r="F95" s="369" t="s">
        <v>360</v>
      </c>
      <c r="G95" s="113">
        <v>20800</v>
      </c>
      <c r="H95" s="113"/>
      <c r="I95" s="113">
        <v>14900</v>
      </c>
      <c r="J95" s="113"/>
      <c r="K95" s="113">
        <v>5900</v>
      </c>
      <c r="L95" s="113">
        <v>19017</v>
      </c>
      <c r="M95" s="113"/>
      <c r="N95" s="113">
        <v>14900</v>
      </c>
      <c r="O95" s="113">
        <v>4117</v>
      </c>
      <c r="P95" s="113">
        <v>16400</v>
      </c>
      <c r="Q95" s="113"/>
      <c r="R95" s="113">
        <v>14900</v>
      </c>
      <c r="S95" s="113">
        <v>1500</v>
      </c>
      <c r="T95" s="113">
        <v>700</v>
      </c>
      <c r="U95" s="113"/>
      <c r="V95" s="113"/>
      <c r="W95" s="113"/>
      <c r="X95" s="113">
        <v>700</v>
      </c>
      <c r="Y95" s="113">
        <v>700</v>
      </c>
      <c r="Z95" s="113"/>
      <c r="AA95" s="113"/>
      <c r="AB95" s="113"/>
      <c r="AC95" s="113">
        <v>700</v>
      </c>
      <c r="AD95" s="348">
        <f t="shared" si="5"/>
        <v>1</v>
      </c>
      <c r="AE95" s="348"/>
      <c r="AF95" s="348"/>
      <c r="AG95" s="348"/>
      <c r="AH95" s="348">
        <f t="shared" si="7"/>
        <v>1</v>
      </c>
    </row>
    <row r="96" spans="1:34" ht="31.5">
      <c r="A96" s="347" t="s">
        <v>23</v>
      </c>
      <c r="B96" s="337" t="s">
        <v>361</v>
      </c>
      <c r="C96" s="347" t="s">
        <v>362</v>
      </c>
      <c r="D96" s="347"/>
      <c r="E96" s="369" t="s">
        <v>363</v>
      </c>
      <c r="F96" s="369" t="s">
        <v>364</v>
      </c>
      <c r="G96" s="113">
        <v>2575</v>
      </c>
      <c r="H96" s="113"/>
      <c r="I96" s="113"/>
      <c r="J96" s="113"/>
      <c r="K96" s="113">
        <v>2575</v>
      </c>
      <c r="L96" s="113">
        <v>1999</v>
      </c>
      <c r="M96" s="113"/>
      <c r="N96" s="113"/>
      <c r="O96" s="113">
        <v>1999</v>
      </c>
      <c r="P96" s="113">
        <v>1940</v>
      </c>
      <c r="Q96" s="113"/>
      <c r="R96" s="113"/>
      <c r="S96" s="113">
        <v>1940</v>
      </c>
      <c r="T96" s="113">
        <v>68.944999999999993</v>
      </c>
      <c r="U96" s="113"/>
      <c r="V96" s="113"/>
      <c r="W96" s="113"/>
      <c r="X96" s="113">
        <v>68.944999999999993</v>
      </c>
      <c r="Y96" s="113">
        <v>68.944999999999993</v>
      </c>
      <c r="Z96" s="113"/>
      <c r="AA96" s="113"/>
      <c r="AB96" s="113"/>
      <c r="AC96" s="113">
        <v>68.944999999999993</v>
      </c>
      <c r="AD96" s="348">
        <f t="shared" si="5"/>
        <v>1</v>
      </c>
      <c r="AE96" s="348"/>
      <c r="AF96" s="348"/>
      <c r="AG96" s="348"/>
      <c r="AH96" s="348">
        <f t="shared" si="7"/>
        <v>1</v>
      </c>
    </row>
    <row r="97" spans="1:34" ht="31.5">
      <c r="A97" s="347" t="s">
        <v>23</v>
      </c>
      <c r="B97" s="337" t="s">
        <v>365</v>
      </c>
      <c r="C97" s="347" t="s">
        <v>287</v>
      </c>
      <c r="D97" s="347"/>
      <c r="E97" s="369" t="s">
        <v>366</v>
      </c>
      <c r="F97" s="369" t="s">
        <v>367</v>
      </c>
      <c r="G97" s="113">
        <v>552</v>
      </c>
      <c r="H97" s="113"/>
      <c r="I97" s="113"/>
      <c r="J97" s="113"/>
      <c r="K97" s="113">
        <v>552</v>
      </c>
      <c r="L97" s="113">
        <v>517</v>
      </c>
      <c r="M97" s="113"/>
      <c r="N97" s="113"/>
      <c r="O97" s="113">
        <v>517</v>
      </c>
      <c r="P97" s="113">
        <v>481</v>
      </c>
      <c r="Q97" s="113"/>
      <c r="R97" s="113"/>
      <c r="S97" s="113">
        <v>481</v>
      </c>
      <c r="T97" s="113">
        <v>36.499000000000002</v>
      </c>
      <c r="U97" s="113"/>
      <c r="V97" s="113"/>
      <c r="W97" s="113"/>
      <c r="X97" s="113">
        <v>36.499000000000002</v>
      </c>
      <c r="Y97" s="113">
        <v>36.499000000000002</v>
      </c>
      <c r="Z97" s="113"/>
      <c r="AA97" s="113"/>
      <c r="AB97" s="113"/>
      <c r="AC97" s="113">
        <v>36.499000000000002</v>
      </c>
      <c r="AD97" s="348">
        <f t="shared" si="5"/>
        <v>1</v>
      </c>
      <c r="AE97" s="348"/>
      <c r="AF97" s="348"/>
      <c r="AG97" s="348"/>
      <c r="AH97" s="348">
        <f t="shared" si="7"/>
        <v>1</v>
      </c>
    </row>
    <row r="98" spans="1:34" ht="31.5">
      <c r="A98" s="347" t="s">
        <v>23</v>
      </c>
      <c r="B98" s="337" t="s">
        <v>368</v>
      </c>
      <c r="C98" s="347" t="s">
        <v>351</v>
      </c>
      <c r="D98" s="347"/>
      <c r="E98" s="369" t="s">
        <v>369</v>
      </c>
      <c r="F98" s="369" t="s">
        <v>370</v>
      </c>
      <c r="G98" s="113">
        <v>6893</v>
      </c>
      <c r="H98" s="113"/>
      <c r="I98" s="113"/>
      <c r="J98" s="113"/>
      <c r="K98" s="113">
        <v>6893</v>
      </c>
      <c r="L98" s="113">
        <v>6320</v>
      </c>
      <c r="M98" s="113"/>
      <c r="N98" s="113"/>
      <c r="O98" s="113">
        <v>6320</v>
      </c>
      <c r="P98" s="113">
        <v>5100</v>
      </c>
      <c r="Q98" s="113"/>
      <c r="R98" s="113"/>
      <c r="S98" s="113">
        <v>5100</v>
      </c>
      <c r="T98" s="113">
        <v>1220</v>
      </c>
      <c r="U98" s="113"/>
      <c r="V98" s="113"/>
      <c r="W98" s="113"/>
      <c r="X98" s="113">
        <v>1220</v>
      </c>
      <c r="Y98" s="113">
        <v>1220</v>
      </c>
      <c r="Z98" s="113"/>
      <c r="AA98" s="113"/>
      <c r="AB98" s="113"/>
      <c r="AC98" s="113">
        <v>1220</v>
      </c>
      <c r="AD98" s="348">
        <f t="shared" si="5"/>
        <v>1</v>
      </c>
      <c r="AE98" s="348"/>
      <c r="AF98" s="348"/>
      <c r="AG98" s="348"/>
      <c r="AH98" s="348">
        <f t="shared" si="7"/>
        <v>1</v>
      </c>
    </row>
    <row r="99" spans="1:34" ht="47.25">
      <c r="A99" s="347" t="s">
        <v>23</v>
      </c>
      <c r="B99" s="337" t="s">
        <v>371</v>
      </c>
      <c r="C99" s="347" t="s">
        <v>298</v>
      </c>
      <c r="D99" s="347"/>
      <c r="E99" s="369" t="s">
        <v>363</v>
      </c>
      <c r="F99" s="369" t="s">
        <v>372</v>
      </c>
      <c r="G99" s="113">
        <v>75366</v>
      </c>
      <c r="H99" s="113"/>
      <c r="I99" s="113">
        <v>75366</v>
      </c>
      <c r="J99" s="113"/>
      <c r="K99" s="113"/>
      <c r="L99" s="113">
        <v>61374</v>
      </c>
      <c r="M99" s="113"/>
      <c r="N99" s="113">
        <v>61374</v>
      </c>
      <c r="O99" s="113"/>
      <c r="P99" s="113">
        <v>60763</v>
      </c>
      <c r="Q99" s="113"/>
      <c r="R99" s="113">
        <v>60763</v>
      </c>
      <c r="S99" s="113"/>
      <c r="T99" s="113">
        <v>2035.355</v>
      </c>
      <c r="U99" s="113"/>
      <c r="V99" s="113">
        <v>2035.355</v>
      </c>
      <c r="W99" s="113"/>
      <c r="X99" s="113">
        <f>T99-V99</f>
        <v>0</v>
      </c>
      <c r="Y99" s="113">
        <v>699</v>
      </c>
      <c r="Z99" s="113"/>
      <c r="AA99" s="113">
        <v>699</v>
      </c>
      <c r="AB99" s="113"/>
      <c r="AC99" s="113"/>
      <c r="AD99" s="348">
        <f t="shared" si="5"/>
        <v>0.34342903326446739</v>
      </c>
      <c r="AE99" s="348"/>
      <c r="AF99" s="348">
        <f t="shared" si="6"/>
        <v>0.34342903326446739</v>
      </c>
      <c r="AG99" s="348"/>
      <c r="AH99" s="348"/>
    </row>
    <row r="100" spans="1:34" ht="47.25">
      <c r="A100" s="347" t="s">
        <v>23</v>
      </c>
      <c r="B100" s="337" t="s">
        <v>371</v>
      </c>
      <c r="C100" s="347" t="s">
        <v>351</v>
      </c>
      <c r="D100" s="347"/>
      <c r="E100" s="369" t="s">
        <v>218</v>
      </c>
      <c r="F100" s="369" t="s">
        <v>373</v>
      </c>
      <c r="G100" s="113">
        <v>80838</v>
      </c>
      <c r="H100" s="113"/>
      <c r="I100" s="113">
        <v>79758</v>
      </c>
      <c r="J100" s="113"/>
      <c r="K100" s="113">
        <v>1080</v>
      </c>
      <c r="L100" s="113">
        <v>30000</v>
      </c>
      <c r="M100" s="113"/>
      <c r="N100" s="113">
        <v>28920</v>
      </c>
      <c r="O100" s="113">
        <v>1080</v>
      </c>
      <c r="P100" s="113">
        <v>10080</v>
      </c>
      <c r="Q100" s="113"/>
      <c r="R100" s="113">
        <v>9000</v>
      </c>
      <c r="S100" s="113">
        <v>1080</v>
      </c>
      <c r="T100" s="113">
        <v>16742.631000000001</v>
      </c>
      <c r="U100" s="113"/>
      <c r="V100" s="113">
        <f>T100-X100</f>
        <v>16442.631000000001</v>
      </c>
      <c r="W100" s="113"/>
      <c r="X100" s="113">
        <v>300</v>
      </c>
      <c r="Y100" s="113">
        <v>16565.397000000001</v>
      </c>
      <c r="Z100" s="113"/>
      <c r="AA100" s="113">
        <v>16265.397000000001</v>
      </c>
      <c r="AB100" s="113"/>
      <c r="AC100" s="113">
        <v>300</v>
      </c>
      <c r="AD100" s="348">
        <f t="shared" si="5"/>
        <v>0.98941420855539364</v>
      </c>
      <c r="AE100" s="348"/>
      <c r="AF100" s="348">
        <f t="shared" si="6"/>
        <v>0.98922106808819099</v>
      </c>
      <c r="AG100" s="348"/>
      <c r="AH100" s="348">
        <f>AC100/X100</f>
        <v>1</v>
      </c>
    </row>
    <row r="101" spans="1:34" ht="63">
      <c r="A101" s="347" t="s">
        <v>23</v>
      </c>
      <c r="B101" s="337" t="s">
        <v>374</v>
      </c>
      <c r="C101" s="347" t="s">
        <v>375</v>
      </c>
      <c r="D101" s="347"/>
      <c r="E101" s="369" t="s">
        <v>369</v>
      </c>
      <c r="F101" s="369" t="s">
        <v>376</v>
      </c>
      <c r="G101" s="113">
        <v>5813</v>
      </c>
      <c r="H101" s="113"/>
      <c r="I101" s="113"/>
      <c r="J101" s="113"/>
      <c r="K101" s="113">
        <v>5813</v>
      </c>
      <c r="L101" s="113">
        <v>5668</v>
      </c>
      <c r="M101" s="113"/>
      <c r="N101" s="113"/>
      <c r="O101" s="113">
        <v>5668</v>
      </c>
      <c r="P101" s="113">
        <v>4499</v>
      </c>
      <c r="Q101" s="113"/>
      <c r="R101" s="113"/>
      <c r="S101" s="113">
        <v>4499</v>
      </c>
      <c r="T101" s="113">
        <v>1180</v>
      </c>
      <c r="U101" s="113"/>
      <c r="V101" s="113"/>
      <c r="W101" s="113"/>
      <c r="X101" s="113">
        <v>1180</v>
      </c>
      <c r="Y101" s="113">
        <v>1168.7719999999999</v>
      </c>
      <c r="Z101" s="113"/>
      <c r="AA101" s="113"/>
      <c r="AB101" s="113"/>
      <c r="AC101" s="113">
        <v>1168.7719999999999</v>
      </c>
      <c r="AD101" s="348">
        <f t="shared" si="5"/>
        <v>0.99048474576271184</v>
      </c>
      <c r="AE101" s="348"/>
      <c r="AF101" s="348"/>
      <c r="AG101" s="348"/>
      <c r="AH101" s="348">
        <f>AC101/X101</f>
        <v>0.99048474576271184</v>
      </c>
    </row>
    <row r="102" spans="1:34" ht="47.25">
      <c r="A102" s="347" t="s">
        <v>23</v>
      </c>
      <c r="B102" s="337" t="s">
        <v>377</v>
      </c>
      <c r="C102" s="347" t="s">
        <v>265</v>
      </c>
      <c r="D102" s="347"/>
      <c r="E102" s="369" t="s">
        <v>378</v>
      </c>
      <c r="F102" s="369" t="s">
        <v>379</v>
      </c>
      <c r="G102" s="113">
        <v>11099</v>
      </c>
      <c r="H102" s="113"/>
      <c r="I102" s="113">
        <v>11099</v>
      </c>
      <c r="J102" s="113"/>
      <c r="K102" s="113"/>
      <c r="L102" s="113">
        <v>11017</v>
      </c>
      <c r="M102" s="113"/>
      <c r="N102" s="113">
        <v>11017</v>
      </c>
      <c r="O102" s="113"/>
      <c r="P102" s="113">
        <v>7700</v>
      </c>
      <c r="Q102" s="113"/>
      <c r="R102" s="113">
        <v>7700</v>
      </c>
      <c r="S102" s="113"/>
      <c r="T102" s="113">
        <v>2452.0549999999998</v>
      </c>
      <c r="U102" s="113"/>
      <c r="V102" s="113">
        <v>2321</v>
      </c>
      <c r="W102" s="113"/>
      <c r="X102" s="113">
        <f>T102-V102</f>
        <v>131.05499999999984</v>
      </c>
      <c r="Y102" s="113">
        <v>2452.0549999999998</v>
      </c>
      <c r="Z102" s="113"/>
      <c r="AA102" s="113">
        <v>2321</v>
      </c>
      <c r="AB102" s="113"/>
      <c r="AC102" s="113">
        <v>131.05499999999984</v>
      </c>
      <c r="AD102" s="348">
        <f t="shared" si="5"/>
        <v>1</v>
      </c>
      <c r="AE102" s="348"/>
      <c r="AF102" s="348">
        <f t="shared" si="6"/>
        <v>1</v>
      </c>
      <c r="AG102" s="348"/>
      <c r="AH102" s="348">
        <f>AC102/X102</f>
        <v>1</v>
      </c>
    </row>
    <row r="103" spans="1:34" ht="31.5">
      <c r="A103" s="347" t="s">
        <v>23</v>
      </c>
      <c r="B103" s="337" t="s">
        <v>380</v>
      </c>
      <c r="C103" s="347" t="s">
        <v>351</v>
      </c>
      <c r="D103" s="347"/>
      <c r="E103" s="369" t="s">
        <v>281</v>
      </c>
      <c r="F103" s="369" t="s">
        <v>381</v>
      </c>
      <c r="G103" s="113">
        <v>9446</v>
      </c>
      <c r="H103" s="113"/>
      <c r="I103" s="113"/>
      <c r="J103" s="113"/>
      <c r="K103" s="113">
        <v>9446</v>
      </c>
      <c r="L103" s="113">
        <v>7450</v>
      </c>
      <c r="M103" s="113"/>
      <c r="N103" s="113"/>
      <c r="O103" s="113">
        <v>7450</v>
      </c>
      <c r="P103" s="113">
        <v>2500</v>
      </c>
      <c r="Q103" s="113"/>
      <c r="R103" s="113"/>
      <c r="S103" s="113">
        <v>2500</v>
      </c>
      <c r="T103" s="113">
        <f>3400+232.617</f>
        <v>3632.6170000000002</v>
      </c>
      <c r="U103" s="113"/>
      <c r="V103" s="113"/>
      <c r="W103" s="113"/>
      <c r="X103" s="113">
        <f>3400+232.617</f>
        <v>3632.6170000000002</v>
      </c>
      <c r="Y103" s="113">
        <f>3400+232.617</f>
        <v>3632.6170000000002</v>
      </c>
      <c r="Z103" s="113"/>
      <c r="AA103" s="113"/>
      <c r="AB103" s="113"/>
      <c r="AC103" s="113">
        <v>3632.6170000000002</v>
      </c>
      <c r="AD103" s="348">
        <f t="shared" si="5"/>
        <v>1</v>
      </c>
      <c r="AE103" s="348"/>
      <c r="AF103" s="348"/>
      <c r="AG103" s="348"/>
      <c r="AH103" s="348">
        <f>AC103/X103</f>
        <v>1</v>
      </c>
    </row>
    <row r="104" spans="1:34" ht="31.5">
      <c r="A104" s="347" t="s">
        <v>23</v>
      </c>
      <c r="B104" s="337" t="s">
        <v>382</v>
      </c>
      <c r="C104" s="347" t="s">
        <v>383</v>
      </c>
      <c r="D104" s="347"/>
      <c r="E104" s="369" t="s">
        <v>281</v>
      </c>
      <c r="F104" s="369" t="s">
        <v>384</v>
      </c>
      <c r="G104" s="113">
        <v>1741</v>
      </c>
      <c r="H104" s="113"/>
      <c r="I104" s="113"/>
      <c r="J104" s="113"/>
      <c r="K104" s="113">
        <v>1741</v>
      </c>
      <c r="L104" s="113">
        <v>1651</v>
      </c>
      <c r="M104" s="113"/>
      <c r="N104" s="113"/>
      <c r="O104" s="113">
        <v>1651</v>
      </c>
      <c r="P104" s="113">
        <v>700</v>
      </c>
      <c r="Q104" s="113"/>
      <c r="R104" s="113"/>
      <c r="S104" s="113">
        <v>700</v>
      </c>
      <c r="T104" s="113">
        <v>300</v>
      </c>
      <c r="U104" s="113"/>
      <c r="V104" s="113"/>
      <c r="W104" s="113"/>
      <c r="X104" s="113">
        <v>300</v>
      </c>
      <c r="Y104" s="113">
        <v>300</v>
      </c>
      <c r="Z104" s="113"/>
      <c r="AA104" s="113"/>
      <c r="AB104" s="113"/>
      <c r="AC104" s="113">
        <v>300</v>
      </c>
      <c r="AD104" s="348">
        <f t="shared" si="5"/>
        <v>1</v>
      </c>
      <c r="AE104" s="348"/>
      <c r="AF104" s="348"/>
      <c r="AG104" s="348"/>
      <c r="AH104" s="348">
        <f>AC104/X104</f>
        <v>1</v>
      </c>
    </row>
    <row r="105" spans="1:34" ht="31.5">
      <c r="A105" s="347" t="s">
        <v>23</v>
      </c>
      <c r="B105" s="337" t="s">
        <v>385</v>
      </c>
      <c r="C105" s="347"/>
      <c r="D105" s="347"/>
      <c r="E105" s="369"/>
      <c r="F105" s="369"/>
      <c r="G105" s="113"/>
      <c r="H105" s="113"/>
      <c r="I105" s="113"/>
      <c r="J105" s="113"/>
      <c r="K105" s="113"/>
      <c r="L105" s="113"/>
      <c r="M105" s="113"/>
      <c r="N105" s="113"/>
      <c r="O105" s="113"/>
      <c r="P105" s="113"/>
      <c r="Q105" s="113"/>
      <c r="R105" s="113"/>
      <c r="S105" s="113"/>
      <c r="T105" s="113">
        <v>1</v>
      </c>
      <c r="U105" s="113"/>
      <c r="V105" s="113"/>
      <c r="W105" s="113">
        <v>1</v>
      </c>
      <c r="X105" s="113"/>
      <c r="Y105" s="113">
        <v>1</v>
      </c>
      <c r="Z105" s="113"/>
      <c r="AA105" s="113"/>
      <c r="AB105" s="113">
        <v>1</v>
      </c>
      <c r="AC105" s="113"/>
      <c r="AD105" s="348">
        <f t="shared" si="5"/>
        <v>1</v>
      </c>
      <c r="AE105" s="348"/>
      <c r="AF105" s="348"/>
      <c r="AG105" s="348">
        <f>AB105/W105</f>
        <v>1</v>
      </c>
      <c r="AH105" s="348"/>
    </row>
    <row r="106" spans="1:34" s="346" customFormat="1">
      <c r="A106" s="334">
        <v>23</v>
      </c>
      <c r="B106" s="335" t="s">
        <v>149</v>
      </c>
      <c r="C106" s="334"/>
      <c r="D106" s="334"/>
      <c r="E106" s="357"/>
      <c r="F106" s="357"/>
      <c r="G106" s="345"/>
      <c r="H106" s="345"/>
      <c r="I106" s="345"/>
      <c r="J106" s="345"/>
      <c r="K106" s="345"/>
      <c r="L106" s="345"/>
      <c r="M106" s="345"/>
      <c r="N106" s="345"/>
      <c r="O106" s="345"/>
      <c r="P106" s="345"/>
      <c r="Q106" s="345"/>
      <c r="R106" s="345"/>
      <c r="S106" s="345"/>
      <c r="T106" s="345"/>
      <c r="U106" s="345"/>
      <c r="V106" s="345"/>
      <c r="W106" s="345"/>
      <c r="X106" s="345"/>
      <c r="Y106" s="345"/>
      <c r="Z106" s="345"/>
      <c r="AA106" s="345"/>
      <c r="AB106" s="345"/>
      <c r="AC106" s="345"/>
      <c r="AD106" s="348"/>
      <c r="AE106" s="348"/>
      <c r="AF106" s="348"/>
      <c r="AG106" s="348"/>
      <c r="AH106" s="348"/>
    </row>
    <row r="107" spans="1:34" ht="31.5">
      <c r="A107" s="347" t="s">
        <v>23</v>
      </c>
      <c r="B107" s="337" t="s">
        <v>386</v>
      </c>
      <c r="C107" s="347" t="s">
        <v>213</v>
      </c>
      <c r="D107" s="347"/>
      <c r="E107" s="369">
        <v>2016</v>
      </c>
      <c r="F107" s="369" t="s">
        <v>387</v>
      </c>
      <c r="G107" s="113">
        <v>2477</v>
      </c>
      <c r="H107" s="113"/>
      <c r="I107" s="113"/>
      <c r="J107" s="113"/>
      <c r="K107" s="113">
        <v>2477</v>
      </c>
      <c r="L107" s="113">
        <v>700</v>
      </c>
      <c r="M107" s="113"/>
      <c r="N107" s="113"/>
      <c r="O107" s="113">
        <v>700</v>
      </c>
      <c r="P107" s="113">
        <v>1800</v>
      </c>
      <c r="Q107" s="113"/>
      <c r="R107" s="113"/>
      <c r="S107" s="113">
        <v>1800</v>
      </c>
      <c r="T107" s="113">
        <v>700</v>
      </c>
      <c r="U107" s="113"/>
      <c r="V107" s="113"/>
      <c r="W107" s="113"/>
      <c r="X107" s="113">
        <v>700</v>
      </c>
      <c r="Y107" s="113">
        <v>700</v>
      </c>
      <c r="Z107" s="113"/>
      <c r="AA107" s="113"/>
      <c r="AB107" s="113"/>
      <c r="AC107" s="113">
        <v>700</v>
      </c>
      <c r="AD107" s="348">
        <f t="shared" si="5"/>
        <v>1</v>
      </c>
      <c r="AE107" s="348"/>
      <c r="AF107" s="348"/>
      <c r="AG107" s="348"/>
      <c r="AH107" s="348">
        <f>AC107/X107</f>
        <v>1</v>
      </c>
    </row>
    <row r="108" spans="1:34" s="346" customFormat="1">
      <c r="A108" s="334">
        <v>24</v>
      </c>
      <c r="B108" s="335" t="s">
        <v>150</v>
      </c>
      <c r="C108" s="334"/>
      <c r="D108" s="334"/>
      <c r="E108" s="357"/>
      <c r="F108" s="357"/>
      <c r="G108" s="345"/>
      <c r="H108" s="345"/>
      <c r="I108" s="345"/>
      <c r="J108" s="345"/>
      <c r="K108" s="345"/>
      <c r="L108" s="345"/>
      <c r="M108" s="345"/>
      <c r="N108" s="345"/>
      <c r="O108" s="345"/>
      <c r="P108" s="345"/>
      <c r="Q108" s="345"/>
      <c r="R108" s="345"/>
      <c r="S108" s="345"/>
      <c r="T108" s="345"/>
      <c r="U108" s="345"/>
      <c r="V108" s="345"/>
      <c r="W108" s="345"/>
      <c r="X108" s="345"/>
      <c r="Y108" s="345"/>
      <c r="Z108" s="345"/>
      <c r="AA108" s="345"/>
      <c r="AB108" s="345"/>
      <c r="AC108" s="345"/>
      <c r="AD108" s="348"/>
      <c r="AE108" s="348"/>
      <c r="AF108" s="348"/>
      <c r="AG108" s="348"/>
      <c r="AH108" s="348"/>
    </row>
    <row r="109" spans="1:34" ht="31.5">
      <c r="A109" s="347" t="s">
        <v>23</v>
      </c>
      <c r="B109" s="337" t="s">
        <v>388</v>
      </c>
      <c r="C109" s="347" t="s">
        <v>265</v>
      </c>
      <c r="D109" s="347"/>
      <c r="E109" s="369" t="s">
        <v>389</v>
      </c>
      <c r="F109" s="369" t="s">
        <v>390</v>
      </c>
      <c r="G109" s="113">
        <v>490017</v>
      </c>
      <c r="H109" s="113"/>
      <c r="I109" s="113">
        <v>490017</v>
      </c>
      <c r="J109" s="113"/>
      <c r="K109" s="113"/>
      <c r="L109" s="113">
        <v>321187</v>
      </c>
      <c r="M109" s="113"/>
      <c r="N109" s="113">
        <v>321187</v>
      </c>
      <c r="O109" s="113"/>
      <c r="P109" s="113">
        <v>316176</v>
      </c>
      <c r="Q109" s="113"/>
      <c r="R109" s="113">
        <v>316176</v>
      </c>
      <c r="S109" s="113"/>
      <c r="T109" s="113">
        <f>15000+11850</f>
        <v>26850</v>
      </c>
      <c r="U109" s="113"/>
      <c r="V109" s="113">
        <f>15000+11850</f>
        <v>26850</v>
      </c>
      <c r="W109" s="113"/>
      <c r="X109" s="113"/>
      <c r="Y109" s="113">
        <f>15000+8893.08</f>
        <v>23893.08</v>
      </c>
      <c r="Z109" s="113"/>
      <c r="AA109" s="113">
        <v>23893.08</v>
      </c>
      <c r="AB109" s="113"/>
      <c r="AC109" s="113"/>
      <c r="AD109" s="348">
        <f t="shared" si="5"/>
        <v>0.88987262569832404</v>
      </c>
      <c r="AE109" s="348"/>
      <c r="AF109" s="348">
        <f t="shared" si="6"/>
        <v>0.88987262569832404</v>
      </c>
      <c r="AG109" s="348"/>
      <c r="AH109" s="348"/>
    </row>
    <row r="110" spans="1:34" ht="47.25">
      <c r="A110" s="347"/>
      <c r="B110" s="337" t="s">
        <v>1067</v>
      </c>
      <c r="C110" s="347" t="s">
        <v>600</v>
      </c>
      <c r="D110" s="347"/>
      <c r="E110" s="369"/>
      <c r="F110" s="369" t="s">
        <v>1068</v>
      </c>
      <c r="G110" s="113">
        <v>17945</v>
      </c>
      <c r="H110" s="113"/>
      <c r="I110" s="113">
        <f>+G110-K110</f>
        <v>11200</v>
      </c>
      <c r="J110" s="113"/>
      <c r="K110" s="113">
        <v>6745</v>
      </c>
      <c r="L110" s="113">
        <f>14700+3216</f>
        <v>17916</v>
      </c>
      <c r="M110" s="113"/>
      <c r="N110" s="113">
        <f>+L110-O110</f>
        <v>11200</v>
      </c>
      <c r="O110" s="113">
        <f>3500+3216</f>
        <v>6716</v>
      </c>
      <c r="P110" s="113">
        <f>14700+3216</f>
        <v>17916</v>
      </c>
      <c r="Q110" s="113"/>
      <c r="R110" s="113">
        <f>+P110-S110</f>
        <v>11200</v>
      </c>
      <c r="S110" s="113">
        <f>3500+3216</f>
        <v>6716</v>
      </c>
      <c r="T110" s="113">
        <f>SUM(U110:X110)</f>
        <v>3216</v>
      </c>
      <c r="U110" s="113"/>
      <c r="V110" s="113"/>
      <c r="W110" s="113"/>
      <c r="X110" s="113">
        <v>3216</v>
      </c>
      <c r="Y110" s="113">
        <f>SUM(Z110:AC110)</f>
        <v>3216</v>
      </c>
      <c r="Z110" s="113"/>
      <c r="AA110" s="113"/>
      <c r="AB110" s="113"/>
      <c r="AC110" s="113">
        <v>3216</v>
      </c>
      <c r="AD110" s="348">
        <f t="shared" si="5"/>
        <v>1</v>
      </c>
      <c r="AE110" s="348"/>
      <c r="AF110" s="348"/>
      <c r="AG110" s="348"/>
      <c r="AH110" s="348">
        <f>AC110/X110</f>
        <v>1</v>
      </c>
    </row>
    <row r="111" spans="1:34" ht="47.25">
      <c r="A111" s="347" t="s">
        <v>23</v>
      </c>
      <c r="B111" s="337" t="s">
        <v>391</v>
      </c>
      <c r="C111" s="347" t="s">
        <v>309</v>
      </c>
      <c r="D111" s="347"/>
      <c r="E111" s="369" t="s">
        <v>223</v>
      </c>
      <c r="F111" s="369" t="s">
        <v>392</v>
      </c>
      <c r="G111" s="113">
        <v>230767</v>
      </c>
      <c r="H111" s="113"/>
      <c r="I111" s="113">
        <v>223346</v>
      </c>
      <c r="J111" s="113"/>
      <c r="K111" s="113">
        <v>7421</v>
      </c>
      <c r="L111" s="113">
        <v>67421</v>
      </c>
      <c r="M111" s="113"/>
      <c r="N111" s="113">
        <v>60000</v>
      </c>
      <c r="O111" s="113">
        <v>7421</v>
      </c>
      <c r="P111" s="113">
        <v>67421</v>
      </c>
      <c r="Q111" s="113"/>
      <c r="R111" s="113">
        <v>60000</v>
      </c>
      <c r="S111" s="113">
        <v>7421</v>
      </c>
      <c r="T111" s="113">
        <f>12000+62.462672</f>
        <v>12062.462672</v>
      </c>
      <c r="U111" s="113"/>
      <c r="V111" s="113">
        <v>12000</v>
      </c>
      <c r="W111" s="113"/>
      <c r="X111" s="113">
        <f>T111-V111</f>
        <v>62.462671999999657</v>
      </c>
      <c r="Y111" s="113">
        <v>11928.262672000001</v>
      </c>
      <c r="Z111" s="113"/>
      <c r="AA111" s="113">
        <v>11865.8</v>
      </c>
      <c r="AB111" s="113"/>
      <c r="AC111" s="113">
        <v>62.462672000001476</v>
      </c>
      <c r="AD111" s="348">
        <f t="shared" si="5"/>
        <v>0.98887457697079462</v>
      </c>
      <c r="AE111" s="348"/>
      <c r="AF111" s="348"/>
      <c r="AG111" s="348"/>
      <c r="AH111" s="348">
        <f>AC111/X111</f>
        <v>1.0000000000000291</v>
      </c>
    </row>
    <row r="112" spans="1:34" ht="31.5">
      <c r="A112" s="347" t="s">
        <v>23</v>
      </c>
      <c r="B112" s="337" t="s">
        <v>393</v>
      </c>
      <c r="C112" s="347" t="s">
        <v>362</v>
      </c>
      <c r="D112" s="347"/>
      <c r="E112" s="369" t="s">
        <v>223</v>
      </c>
      <c r="F112" s="369" t="s">
        <v>394</v>
      </c>
      <c r="G112" s="113">
        <v>26290</v>
      </c>
      <c r="H112" s="113"/>
      <c r="I112" s="113"/>
      <c r="J112" s="113"/>
      <c r="K112" s="113">
        <v>26290</v>
      </c>
      <c r="L112" s="113">
        <v>21941</v>
      </c>
      <c r="M112" s="113"/>
      <c r="N112" s="113"/>
      <c r="O112" s="113">
        <v>21941</v>
      </c>
      <c r="P112" s="113">
        <v>21941</v>
      </c>
      <c r="Q112" s="113"/>
      <c r="R112" s="113"/>
      <c r="S112" s="113">
        <v>21941</v>
      </c>
      <c r="T112" s="113">
        <v>2000</v>
      </c>
      <c r="U112" s="113"/>
      <c r="V112" s="113"/>
      <c r="W112" s="113"/>
      <c r="X112" s="113">
        <v>2000</v>
      </c>
      <c r="Y112" s="113">
        <v>1894.23</v>
      </c>
      <c r="Z112" s="113"/>
      <c r="AA112" s="113"/>
      <c r="AB112" s="113"/>
      <c r="AC112" s="113">
        <v>1894.23</v>
      </c>
      <c r="AD112" s="348">
        <f t="shared" si="5"/>
        <v>0.94711500000000004</v>
      </c>
      <c r="AE112" s="348"/>
      <c r="AF112" s="348"/>
      <c r="AG112" s="348"/>
      <c r="AH112" s="348">
        <f>AC112/X112</f>
        <v>0.94711500000000004</v>
      </c>
    </row>
    <row r="113" spans="1:34" ht="47.25">
      <c r="A113" s="347" t="s">
        <v>23</v>
      </c>
      <c r="B113" s="337" t="s">
        <v>395</v>
      </c>
      <c r="C113" s="347" t="s">
        <v>396</v>
      </c>
      <c r="D113" s="347"/>
      <c r="E113" s="369" t="s">
        <v>363</v>
      </c>
      <c r="F113" s="369" t="s">
        <v>397</v>
      </c>
      <c r="G113" s="113">
        <v>31776</v>
      </c>
      <c r="H113" s="113"/>
      <c r="I113" s="113">
        <v>31776</v>
      </c>
      <c r="J113" s="113"/>
      <c r="K113" s="113"/>
      <c r="L113" s="113">
        <v>13000</v>
      </c>
      <c r="M113" s="113"/>
      <c r="N113" s="113">
        <v>13000</v>
      </c>
      <c r="O113" s="113"/>
      <c r="P113" s="113">
        <v>11000</v>
      </c>
      <c r="Q113" s="113"/>
      <c r="R113" s="113">
        <v>11000</v>
      </c>
      <c r="S113" s="113"/>
      <c r="T113" s="113">
        <v>2000</v>
      </c>
      <c r="U113" s="113"/>
      <c r="V113" s="113">
        <v>2000</v>
      </c>
      <c r="W113" s="113"/>
      <c r="X113" s="113"/>
      <c r="Y113" s="113">
        <v>1937.58</v>
      </c>
      <c r="Z113" s="113"/>
      <c r="AA113" s="113">
        <v>1937.58</v>
      </c>
      <c r="AB113" s="113"/>
      <c r="AC113" s="113"/>
      <c r="AD113" s="348">
        <f t="shared" si="5"/>
        <v>0.96878999999999993</v>
      </c>
      <c r="AE113" s="348"/>
      <c r="AF113" s="348">
        <f t="shared" si="6"/>
        <v>0.96878999999999993</v>
      </c>
      <c r="AG113" s="348"/>
      <c r="AH113" s="348"/>
    </row>
    <row r="114" spans="1:34" ht="47.25">
      <c r="A114" s="347" t="s">
        <v>23</v>
      </c>
      <c r="B114" s="337" t="s">
        <v>398</v>
      </c>
      <c r="C114" s="347" t="s">
        <v>399</v>
      </c>
      <c r="D114" s="347"/>
      <c r="E114" s="369" t="s">
        <v>378</v>
      </c>
      <c r="F114" s="369" t="s">
        <v>400</v>
      </c>
      <c r="G114" s="113">
        <v>4000</v>
      </c>
      <c r="H114" s="113"/>
      <c r="I114" s="113"/>
      <c r="J114" s="113"/>
      <c r="K114" s="113">
        <v>4000</v>
      </c>
      <c r="L114" s="113">
        <v>3898</v>
      </c>
      <c r="M114" s="113"/>
      <c r="N114" s="113"/>
      <c r="O114" s="113">
        <v>3898</v>
      </c>
      <c r="P114" s="113">
        <v>3898</v>
      </c>
      <c r="Q114" s="113"/>
      <c r="R114" s="113"/>
      <c r="S114" s="113">
        <v>3898</v>
      </c>
      <c r="T114" s="113">
        <v>1100</v>
      </c>
      <c r="U114" s="113"/>
      <c r="V114" s="113"/>
      <c r="W114" s="113"/>
      <c r="X114" s="113">
        <v>1100</v>
      </c>
      <c r="Y114" s="113">
        <v>1100</v>
      </c>
      <c r="Z114" s="113"/>
      <c r="AA114" s="113"/>
      <c r="AB114" s="113"/>
      <c r="AC114" s="113">
        <v>1100</v>
      </c>
      <c r="AD114" s="348">
        <f t="shared" si="5"/>
        <v>1</v>
      </c>
      <c r="AE114" s="348"/>
      <c r="AF114" s="348"/>
      <c r="AG114" s="348"/>
      <c r="AH114" s="348">
        <f>AC114/X114</f>
        <v>1</v>
      </c>
    </row>
    <row r="115" spans="1:34" ht="47.25">
      <c r="A115" s="347" t="s">
        <v>23</v>
      </c>
      <c r="B115" s="337" t="s">
        <v>401</v>
      </c>
      <c r="C115" s="347" t="s">
        <v>261</v>
      </c>
      <c r="D115" s="347"/>
      <c r="E115" s="369" t="s">
        <v>378</v>
      </c>
      <c r="F115" s="369" t="s">
        <v>402</v>
      </c>
      <c r="G115" s="113">
        <v>3668</v>
      </c>
      <c r="H115" s="113"/>
      <c r="I115" s="113"/>
      <c r="J115" s="113"/>
      <c r="K115" s="113">
        <v>3668</v>
      </c>
      <c r="L115" s="113">
        <v>3438</v>
      </c>
      <c r="M115" s="113"/>
      <c r="N115" s="113"/>
      <c r="O115" s="113">
        <v>3438</v>
      </c>
      <c r="P115" s="113">
        <v>3438</v>
      </c>
      <c r="Q115" s="113"/>
      <c r="R115" s="113"/>
      <c r="S115" s="113">
        <v>3438</v>
      </c>
      <c r="T115" s="113">
        <v>223.25165000000001</v>
      </c>
      <c r="U115" s="113"/>
      <c r="V115" s="113"/>
      <c r="W115" s="113"/>
      <c r="X115" s="113">
        <v>223.25165000000001</v>
      </c>
      <c r="Y115" s="113">
        <v>223.25165000000001</v>
      </c>
      <c r="Z115" s="113"/>
      <c r="AA115" s="113"/>
      <c r="AB115" s="113"/>
      <c r="AC115" s="113">
        <v>223.25165000000001</v>
      </c>
      <c r="AD115" s="348">
        <f t="shared" si="5"/>
        <v>1</v>
      </c>
      <c r="AE115" s="348"/>
      <c r="AF115" s="348"/>
      <c r="AG115" s="348"/>
      <c r="AH115" s="348">
        <f>AC115/X115</f>
        <v>1</v>
      </c>
    </row>
    <row r="116" spans="1:34" ht="47.25">
      <c r="A116" s="347" t="s">
        <v>23</v>
      </c>
      <c r="B116" s="337" t="s">
        <v>403</v>
      </c>
      <c r="C116" s="347" t="s">
        <v>213</v>
      </c>
      <c r="D116" s="347"/>
      <c r="E116" s="369"/>
      <c r="F116" s="369"/>
      <c r="G116" s="113">
        <v>9419.4</v>
      </c>
      <c r="H116" s="113"/>
      <c r="I116" s="113"/>
      <c r="J116" s="113"/>
      <c r="K116" s="113">
        <v>9419.4</v>
      </c>
      <c r="L116" s="113"/>
      <c r="M116" s="113"/>
      <c r="N116" s="113"/>
      <c r="O116" s="113"/>
      <c r="P116" s="113"/>
      <c r="Q116" s="113"/>
      <c r="R116" s="113"/>
      <c r="S116" s="113"/>
      <c r="T116" s="113">
        <v>1299.6290289999999</v>
      </c>
      <c r="U116" s="113"/>
      <c r="V116" s="113"/>
      <c r="W116" s="113"/>
      <c r="X116" s="113">
        <v>1299.6290289999999</v>
      </c>
      <c r="Y116" s="113">
        <v>130.054</v>
      </c>
      <c r="Z116" s="113"/>
      <c r="AA116" s="113"/>
      <c r="AB116" s="113"/>
      <c r="AC116" s="113">
        <v>130.054</v>
      </c>
      <c r="AD116" s="348">
        <f t="shared" si="5"/>
        <v>0.10007009469469154</v>
      </c>
      <c r="AE116" s="348"/>
      <c r="AF116" s="348"/>
      <c r="AG116" s="348"/>
      <c r="AH116" s="348">
        <f>AC116/X116</f>
        <v>0.10007009469469154</v>
      </c>
    </row>
    <row r="117" spans="1:34" ht="47.25">
      <c r="A117" s="347" t="s">
        <v>23</v>
      </c>
      <c r="B117" s="337" t="s">
        <v>404</v>
      </c>
      <c r="C117" s="347" t="s">
        <v>405</v>
      </c>
      <c r="D117" s="347"/>
      <c r="E117" s="369" t="s">
        <v>281</v>
      </c>
      <c r="F117" s="369" t="s">
        <v>406</v>
      </c>
      <c r="G117" s="113">
        <v>4453</v>
      </c>
      <c r="H117" s="113"/>
      <c r="I117" s="113"/>
      <c r="J117" s="113"/>
      <c r="K117" s="113">
        <v>4453</v>
      </c>
      <c r="L117" s="113">
        <v>4220</v>
      </c>
      <c r="M117" s="113"/>
      <c r="N117" s="113"/>
      <c r="O117" s="113">
        <v>4220</v>
      </c>
      <c r="P117" s="113">
        <v>3500</v>
      </c>
      <c r="Q117" s="113"/>
      <c r="R117" s="113"/>
      <c r="S117" s="113">
        <v>3500</v>
      </c>
      <c r="T117" s="113">
        <v>2072.6</v>
      </c>
      <c r="U117" s="113"/>
      <c r="V117" s="113"/>
      <c r="W117" s="113"/>
      <c r="X117" s="113">
        <v>2072.6</v>
      </c>
      <c r="Y117" s="113">
        <v>2072.6</v>
      </c>
      <c r="Z117" s="113"/>
      <c r="AA117" s="113"/>
      <c r="AB117" s="113"/>
      <c r="AC117" s="113">
        <v>2072.6</v>
      </c>
      <c r="AD117" s="348">
        <f t="shared" si="5"/>
        <v>1</v>
      </c>
      <c r="AE117" s="348"/>
      <c r="AF117" s="348"/>
      <c r="AG117" s="348"/>
      <c r="AH117" s="348">
        <f>AC117/X117</f>
        <v>1</v>
      </c>
    </row>
    <row r="118" spans="1:34" ht="47.25">
      <c r="A118" s="347" t="s">
        <v>23</v>
      </c>
      <c r="B118" s="337" t="s">
        <v>407</v>
      </c>
      <c r="C118" s="347"/>
      <c r="D118" s="347"/>
      <c r="E118" s="369"/>
      <c r="F118" s="369"/>
      <c r="G118" s="113">
        <v>1783.025979</v>
      </c>
      <c r="H118" s="113"/>
      <c r="I118" s="113"/>
      <c r="J118" s="113"/>
      <c r="K118" s="113">
        <v>1783.025979</v>
      </c>
      <c r="L118" s="113"/>
      <c r="M118" s="113"/>
      <c r="N118" s="113"/>
      <c r="O118" s="113"/>
      <c r="P118" s="113"/>
      <c r="Q118" s="113"/>
      <c r="R118" s="113"/>
      <c r="S118" s="113"/>
      <c r="T118" s="113">
        <v>21.160799999999998</v>
      </c>
      <c r="U118" s="113"/>
      <c r="V118" s="113"/>
      <c r="W118" s="113"/>
      <c r="X118" s="113">
        <v>21.160799999999998</v>
      </c>
      <c r="Y118" s="113">
        <v>0</v>
      </c>
      <c r="Z118" s="113"/>
      <c r="AA118" s="113"/>
      <c r="AB118" s="113"/>
      <c r="AC118" s="113"/>
      <c r="AD118" s="348">
        <f t="shared" si="5"/>
        <v>0</v>
      </c>
      <c r="AE118" s="348"/>
      <c r="AF118" s="348"/>
      <c r="AG118" s="348"/>
      <c r="AH118" s="348">
        <f>AC118/X118</f>
        <v>0</v>
      </c>
    </row>
    <row r="119" spans="1:34" s="346" customFormat="1">
      <c r="A119" s="334">
        <v>25</v>
      </c>
      <c r="B119" s="335" t="s">
        <v>151</v>
      </c>
      <c r="C119" s="334"/>
      <c r="D119" s="334"/>
      <c r="E119" s="357"/>
      <c r="F119" s="357"/>
      <c r="G119" s="345"/>
      <c r="H119" s="345"/>
      <c r="I119" s="345"/>
      <c r="J119" s="345"/>
      <c r="K119" s="345"/>
      <c r="L119" s="345"/>
      <c r="M119" s="345"/>
      <c r="N119" s="345"/>
      <c r="O119" s="345"/>
      <c r="P119" s="345"/>
      <c r="Q119" s="345"/>
      <c r="R119" s="345"/>
      <c r="S119" s="345"/>
      <c r="T119" s="345"/>
      <c r="U119" s="345"/>
      <c r="V119" s="345"/>
      <c r="W119" s="345"/>
      <c r="X119" s="345"/>
      <c r="Y119" s="345"/>
      <c r="Z119" s="345"/>
      <c r="AA119" s="345"/>
      <c r="AB119" s="345"/>
      <c r="AC119" s="345"/>
      <c r="AD119" s="348"/>
      <c r="AE119" s="348"/>
      <c r="AF119" s="348"/>
      <c r="AG119" s="348"/>
      <c r="AH119" s="348"/>
    </row>
    <row r="120" spans="1:34" ht="47.25">
      <c r="A120" s="347" t="s">
        <v>23</v>
      </c>
      <c r="B120" s="337" t="s">
        <v>408</v>
      </c>
      <c r="C120" s="347" t="s">
        <v>213</v>
      </c>
      <c r="D120" s="347"/>
      <c r="E120" s="369" t="s">
        <v>363</v>
      </c>
      <c r="F120" s="369" t="s">
        <v>409</v>
      </c>
      <c r="G120" s="113">
        <v>7402</v>
      </c>
      <c r="H120" s="113"/>
      <c r="I120" s="113"/>
      <c r="J120" s="113"/>
      <c r="K120" s="113">
        <v>7402</v>
      </c>
      <c r="L120" s="113">
        <v>7085</v>
      </c>
      <c r="M120" s="113"/>
      <c r="N120" s="113"/>
      <c r="O120" s="113">
        <v>7085</v>
      </c>
      <c r="P120" s="113">
        <v>7085</v>
      </c>
      <c r="Q120" s="113"/>
      <c r="R120" s="113"/>
      <c r="S120" s="113">
        <v>7085</v>
      </c>
      <c r="T120" s="113">
        <v>2085</v>
      </c>
      <c r="U120" s="113"/>
      <c r="V120" s="113"/>
      <c r="W120" s="113"/>
      <c r="X120" s="113">
        <v>2085</v>
      </c>
      <c r="Y120" s="113">
        <v>2085</v>
      </c>
      <c r="Z120" s="113"/>
      <c r="AA120" s="113"/>
      <c r="AB120" s="113"/>
      <c r="AC120" s="113">
        <v>2085</v>
      </c>
      <c r="AD120" s="348">
        <f t="shared" si="5"/>
        <v>1</v>
      </c>
      <c r="AE120" s="348"/>
      <c r="AF120" s="348"/>
      <c r="AG120" s="348"/>
      <c r="AH120" s="348">
        <f>AC120/X120</f>
        <v>1</v>
      </c>
    </row>
    <row r="121" spans="1:34" ht="31.5">
      <c r="A121" s="347" t="s">
        <v>23</v>
      </c>
      <c r="B121" s="337" t="s">
        <v>410</v>
      </c>
      <c r="C121" s="347" t="s">
        <v>213</v>
      </c>
      <c r="D121" s="347"/>
      <c r="E121" s="369" t="s">
        <v>363</v>
      </c>
      <c r="F121" s="369" t="s">
        <v>411</v>
      </c>
      <c r="G121" s="113">
        <v>2530</v>
      </c>
      <c r="H121" s="113"/>
      <c r="I121" s="113"/>
      <c r="J121" s="113"/>
      <c r="K121" s="113">
        <v>2530</v>
      </c>
      <c r="L121" s="113">
        <v>2346</v>
      </c>
      <c r="M121" s="113"/>
      <c r="N121" s="113"/>
      <c r="O121" s="113">
        <v>2346</v>
      </c>
      <c r="P121" s="113">
        <v>2347</v>
      </c>
      <c r="Q121" s="113"/>
      <c r="R121" s="113"/>
      <c r="S121" s="113">
        <v>2347</v>
      </c>
      <c r="T121" s="113">
        <v>76.349999999999994</v>
      </c>
      <c r="U121" s="113"/>
      <c r="V121" s="113"/>
      <c r="W121" s="113"/>
      <c r="X121" s="113">
        <v>76.349999999999994</v>
      </c>
      <c r="Y121" s="113">
        <v>13.206</v>
      </c>
      <c r="Z121" s="113"/>
      <c r="AA121" s="113"/>
      <c r="AB121" s="113"/>
      <c r="AC121" s="113">
        <v>13.206</v>
      </c>
      <c r="AD121" s="348">
        <f t="shared" si="5"/>
        <v>0.17296660117878193</v>
      </c>
      <c r="AE121" s="348"/>
      <c r="AF121" s="348"/>
      <c r="AG121" s="348"/>
      <c r="AH121" s="348">
        <f>AC121/X121</f>
        <v>0.17296660117878193</v>
      </c>
    </row>
    <row r="122" spans="1:34" s="346" customFormat="1" ht="31.5">
      <c r="A122" s="334">
        <v>26</v>
      </c>
      <c r="B122" s="335" t="s">
        <v>152</v>
      </c>
      <c r="C122" s="334"/>
      <c r="D122" s="334"/>
      <c r="E122" s="357"/>
      <c r="F122" s="357"/>
      <c r="G122" s="345"/>
      <c r="H122" s="345"/>
      <c r="I122" s="345"/>
      <c r="J122" s="345"/>
      <c r="K122" s="345"/>
      <c r="L122" s="345"/>
      <c r="M122" s="345"/>
      <c r="N122" s="345"/>
      <c r="O122" s="345"/>
      <c r="P122" s="345"/>
      <c r="Q122" s="345"/>
      <c r="R122" s="345"/>
      <c r="S122" s="345"/>
      <c r="T122" s="345"/>
      <c r="U122" s="345"/>
      <c r="V122" s="345"/>
      <c r="W122" s="345"/>
      <c r="X122" s="345"/>
      <c r="Y122" s="345"/>
      <c r="Z122" s="345"/>
      <c r="AA122" s="345"/>
      <c r="AB122" s="345"/>
      <c r="AC122" s="345"/>
      <c r="AD122" s="348"/>
      <c r="AE122" s="348"/>
      <c r="AF122" s="348"/>
      <c r="AG122" s="348"/>
      <c r="AH122" s="348"/>
    </row>
    <row r="123" spans="1:34" ht="31.5">
      <c r="A123" s="347" t="s">
        <v>23</v>
      </c>
      <c r="B123" s="337" t="s">
        <v>412</v>
      </c>
      <c r="C123" s="347" t="s">
        <v>261</v>
      </c>
      <c r="D123" s="347"/>
      <c r="E123" s="369" t="s">
        <v>214</v>
      </c>
      <c r="F123" s="369" t="s">
        <v>413</v>
      </c>
      <c r="G123" s="113">
        <v>39814</v>
      </c>
      <c r="H123" s="113"/>
      <c r="I123" s="113"/>
      <c r="J123" s="113"/>
      <c r="K123" s="113">
        <v>20000</v>
      </c>
      <c r="L123" s="113">
        <v>36631</v>
      </c>
      <c r="M123" s="113"/>
      <c r="N123" s="113"/>
      <c r="O123" s="113">
        <v>20000</v>
      </c>
      <c r="P123" s="113">
        <v>20000</v>
      </c>
      <c r="Q123" s="113"/>
      <c r="R123" s="113"/>
      <c r="S123" s="113">
        <v>20000</v>
      </c>
      <c r="T123" s="113">
        <v>20000</v>
      </c>
      <c r="U123" s="113"/>
      <c r="V123" s="113"/>
      <c r="W123" s="113"/>
      <c r="X123" s="113">
        <v>20000</v>
      </c>
      <c r="Y123" s="113">
        <v>1935.2750000000001</v>
      </c>
      <c r="Z123" s="113"/>
      <c r="AA123" s="113"/>
      <c r="AB123" s="113"/>
      <c r="AC123" s="113">
        <v>1935.2750000000001</v>
      </c>
      <c r="AD123" s="348">
        <f t="shared" si="5"/>
        <v>9.6763750000000009E-2</v>
      </c>
      <c r="AE123" s="348"/>
      <c r="AF123" s="348"/>
      <c r="AG123" s="348"/>
      <c r="AH123" s="348">
        <f>AC123/X123</f>
        <v>9.6763750000000009E-2</v>
      </c>
    </row>
    <row r="124" spans="1:34" ht="47.25">
      <c r="A124" s="347" t="s">
        <v>23</v>
      </c>
      <c r="B124" s="337" t="s">
        <v>414</v>
      </c>
      <c r="C124" s="347" t="s">
        <v>261</v>
      </c>
      <c r="D124" s="347"/>
      <c r="E124" s="369" t="s">
        <v>229</v>
      </c>
      <c r="F124" s="369" t="s">
        <v>415</v>
      </c>
      <c r="G124" s="113">
        <v>2376</v>
      </c>
      <c r="H124" s="113"/>
      <c r="I124" s="113"/>
      <c r="J124" s="113"/>
      <c r="K124" s="113">
        <v>2376</v>
      </c>
      <c r="L124" s="113">
        <v>2072</v>
      </c>
      <c r="M124" s="113"/>
      <c r="N124" s="113"/>
      <c r="O124" s="113">
        <v>2072</v>
      </c>
      <c r="P124" s="113">
        <v>1891</v>
      </c>
      <c r="Q124" s="113"/>
      <c r="R124" s="113"/>
      <c r="S124" s="113">
        <v>1891</v>
      </c>
      <c r="T124" s="113">
        <v>784</v>
      </c>
      <c r="U124" s="113"/>
      <c r="V124" s="113"/>
      <c r="W124" s="113"/>
      <c r="X124" s="113">
        <v>784</v>
      </c>
      <c r="Y124" s="113">
        <v>776.58</v>
      </c>
      <c r="Z124" s="113"/>
      <c r="AA124" s="113"/>
      <c r="AB124" s="113"/>
      <c r="AC124" s="113">
        <v>776.58</v>
      </c>
      <c r="AD124" s="348">
        <f t="shared" si="5"/>
        <v>0.9905357142857143</v>
      </c>
      <c r="AE124" s="348"/>
      <c r="AF124" s="348"/>
      <c r="AG124" s="348"/>
      <c r="AH124" s="348">
        <f>AC124/X124</f>
        <v>0.9905357142857143</v>
      </c>
    </row>
    <row r="125" spans="1:34" ht="31.5">
      <c r="A125" s="347" t="s">
        <v>23</v>
      </c>
      <c r="B125" s="337" t="s">
        <v>416</v>
      </c>
      <c r="C125" s="347" t="s">
        <v>261</v>
      </c>
      <c r="D125" s="347"/>
      <c r="E125" s="369" t="s">
        <v>214</v>
      </c>
      <c r="F125" s="369" t="s">
        <v>417</v>
      </c>
      <c r="G125" s="113">
        <v>3529</v>
      </c>
      <c r="H125" s="113"/>
      <c r="I125" s="113"/>
      <c r="J125" s="113"/>
      <c r="K125" s="113">
        <v>3529</v>
      </c>
      <c r="L125" s="113">
        <v>3080</v>
      </c>
      <c r="M125" s="113"/>
      <c r="N125" s="113"/>
      <c r="O125" s="113">
        <v>3080</v>
      </c>
      <c r="P125" s="113">
        <v>3000</v>
      </c>
      <c r="Q125" s="113"/>
      <c r="R125" s="113"/>
      <c r="S125" s="113">
        <v>3000</v>
      </c>
      <c r="T125" s="113">
        <v>3000</v>
      </c>
      <c r="U125" s="113"/>
      <c r="V125" s="113"/>
      <c r="W125" s="113"/>
      <c r="X125" s="113">
        <v>3000</v>
      </c>
      <c r="Y125" s="113">
        <v>2792.0075000000002</v>
      </c>
      <c r="Z125" s="113"/>
      <c r="AA125" s="113"/>
      <c r="AB125" s="113"/>
      <c r="AC125" s="113">
        <v>2792.0075000000002</v>
      </c>
      <c r="AD125" s="348">
        <f t="shared" si="5"/>
        <v>0.93066916666666677</v>
      </c>
      <c r="AE125" s="348"/>
      <c r="AF125" s="348"/>
      <c r="AG125" s="348"/>
      <c r="AH125" s="348">
        <f>AC125/X125</f>
        <v>0.93066916666666677</v>
      </c>
    </row>
    <row r="126" spans="1:34" s="346" customFormat="1">
      <c r="A126" s="334">
        <v>27</v>
      </c>
      <c r="B126" s="335" t="s">
        <v>153</v>
      </c>
      <c r="C126" s="334"/>
      <c r="D126" s="334"/>
      <c r="E126" s="357"/>
      <c r="F126" s="357"/>
      <c r="G126" s="345"/>
      <c r="H126" s="345"/>
      <c r="I126" s="345"/>
      <c r="J126" s="345"/>
      <c r="K126" s="345"/>
      <c r="L126" s="345"/>
      <c r="M126" s="345"/>
      <c r="N126" s="345"/>
      <c r="O126" s="345"/>
      <c r="P126" s="345"/>
      <c r="Q126" s="345"/>
      <c r="R126" s="345"/>
      <c r="S126" s="345"/>
      <c r="T126" s="345"/>
      <c r="U126" s="345"/>
      <c r="V126" s="345"/>
      <c r="W126" s="345"/>
      <c r="X126" s="345"/>
      <c r="Y126" s="345"/>
      <c r="Z126" s="345"/>
      <c r="AA126" s="345"/>
      <c r="AB126" s="345"/>
      <c r="AC126" s="345"/>
      <c r="AD126" s="348"/>
      <c r="AE126" s="348"/>
      <c r="AF126" s="348"/>
      <c r="AG126" s="348"/>
      <c r="AH126" s="348"/>
    </row>
    <row r="127" spans="1:34" ht="63">
      <c r="A127" s="347" t="s">
        <v>23</v>
      </c>
      <c r="B127" s="337" t="s">
        <v>418</v>
      </c>
      <c r="C127" s="347" t="s">
        <v>213</v>
      </c>
      <c r="D127" s="347"/>
      <c r="E127" s="369" t="s">
        <v>290</v>
      </c>
      <c r="F127" s="369" t="s">
        <v>419</v>
      </c>
      <c r="G127" s="113">
        <v>4015</v>
      </c>
      <c r="H127" s="113"/>
      <c r="I127" s="113"/>
      <c r="J127" s="113"/>
      <c r="K127" s="113">
        <v>4015</v>
      </c>
      <c r="L127" s="113">
        <v>628</v>
      </c>
      <c r="M127" s="113"/>
      <c r="N127" s="113"/>
      <c r="O127" s="113">
        <v>628</v>
      </c>
      <c r="P127" s="113">
        <v>1300</v>
      </c>
      <c r="Q127" s="113"/>
      <c r="R127" s="113"/>
      <c r="S127" s="113">
        <v>628</v>
      </c>
      <c r="T127" s="113">
        <v>1300</v>
      </c>
      <c r="U127" s="113"/>
      <c r="V127" s="113"/>
      <c r="W127" s="113"/>
      <c r="X127" s="113">
        <v>1300</v>
      </c>
      <c r="Y127" s="113">
        <v>600</v>
      </c>
      <c r="Z127" s="113"/>
      <c r="AA127" s="113"/>
      <c r="AB127" s="113"/>
      <c r="AC127" s="113">
        <v>600</v>
      </c>
      <c r="AD127" s="348">
        <f t="shared" si="5"/>
        <v>0.46153846153846156</v>
      </c>
      <c r="AE127" s="348"/>
      <c r="AF127" s="348"/>
      <c r="AG127" s="348"/>
      <c r="AH127" s="348">
        <f>AC127/X127</f>
        <v>0.46153846153846156</v>
      </c>
    </row>
    <row r="128" spans="1:34" s="346" customFormat="1" ht="31.5">
      <c r="A128" s="334">
        <v>28</v>
      </c>
      <c r="B128" s="335" t="s">
        <v>154</v>
      </c>
      <c r="C128" s="334"/>
      <c r="D128" s="334"/>
      <c r="E128" s="357"/>
      <c r="F128" s="357"/>
      <c r="G128" s="345"/>
      <c r="H128" s="345"/>
      <c r="I128" s="345"/>
      <c r="J128" s="345"/>
      <c r="K128" s="345"/>
      <c r="L128" s="345"/>
      <c r="M128" s="345"/>
      <c r="N128" s="345"/>
      <c r="O128" s="345"/>
      <c r="P128" s="345"/>
      <c r="Q128" s="345"/>
      <c r="R128" s="345"/>
      <c r="S128" s="345"/>
      <c r="T128" s="345"/>
      <c r="U128" s="345"/>
      <c r="V128" s="345"/>
      <c r="W128" s="345"/>
      <c r="X128" s="345"/>
      <c r="Y128" s="345"/>
      <c r="Z128" s="345"/>
      <c r="AA128" s="345"/>
      <c r="AB128" s="345"/>
      <c r="AC128" s="345"/>
      <c r="AD128" s="348"/>
      <c r="AE128" s="348"/>
      <c r="AF128" s="348"/>
      <c r="AG128" s="348"/>
      <c r="AH128" s="348"/>
    </row>
    <row r="129" spans="1:34" ht="63">
      <c r="A129" s="347" t="s">
        <v>23</v>
      </c>
      <c r="B129" s="337" t="s">
        <v>420</v>
      </c>
      <c r="C129" s="347" t="s">
        <v>396</v>
      </c>
      <c r="D129" s="347"/>
      <c r="E129" s="369" t="s">
        <v>421</v>
      </c>
      <c r="F129" s="369" t="s">
        <v>422</v>
      </c>
      <c r="G129" s="113">
        <v>232150</v>
      </c>
      <c r="H129" s="113">
        <v>205000</v>
      </c>
      <c r="I129" s="113"/>
      <c r="J129" s="113"/>
      <c r="K129" s="113">
        <v>27150</v>
      </c>
      <c r="L129" s="113">
        <v>4697</v>
      </c>
      <c r="M129" s="113"/>
      <c r="N129" s="113"/>
      <c r="O129" s="113">
        <v>4697</v>
      </c>
      <c r="P129" s="113">
        <v>40000</v>
      </c>
      <c r="Q129" s="113">
        <v>26000</v>
      </c>
      <c r="R129" s="113"/>
      <c r="S129" s="113">
        <v>14000</v>
      </c>
      <c r="T129" s="113">
        <v>40000</v>
      </c>
      <c r="U129" s="113">
        <v>26000</v>
      </c>
      <c r="V129" s="113"/>
      <c r="W129" s="113"/>
      <c r="X129" s="113">
        <v>14000</v>
      </c>
      <c r="Y129" s="113">
        <v>784.08500000000004</v>
      </c>
      <c r="Z129" s="113"/>
      <c r="AA129" s="113"/>
      <c r="AB129" s="113"/>
      <c r="AC129" s="113">
        <v>784.08500000000004</v>
      </c>
      <c r="AD129" s="348">
        <f t="shared" si="5"/>
        <v>1.9602125000000001E-2</v>
      </c>
      <c r="AE129" s="348">
        <f t="shared" si="5"/>
        <v>0</v>
      </c>
      <c r="AF129" s="348"/>
      <c r="AG129" s="348"/>
      <c r="AH129" s="348">
        <f>AC129/X129</f>
        <v>5.6006071428571433E-2</v>
      </c>
    </row>
    <row r="130" spans="1:34" ht="63">
      <c r="A130" s="347" t="s">
        <v>23</v>
      </c>
      <c r="B130" s="337" t="s">
        <v>423</v>
      </c>
      <c r="C130" s="347" t="s">
        <v>284</v>
      </c>
      <c r="D130" s="347"/>
      <c r="E130" s="369">
        <v>2017</v>
      </c>
      <c r="F130" s="369" t="s">
        <v>390</v>
      </c>
      <c r="G130" s="113">
        <v>100000</v>
      </c>
      <c r="H130" s="113"/>
      <c r="I130" s="113"/>
      <c r="J130" s="113"/>
      <c r="K130" s="113">
        <v>100000</v>
      </c>
      <c r="L130" s="113">
        <v>361</v>
      </c>
      <c r="M130" s="113"/>
      <c r="N130" s="113"/>
      <c r="O130" s="113">
        <v>361</v>
      </c>
      <c r="P130" s="113">
        <v>20000</v>
      </c>
      <c r="Q130" s="113"/>
      <c r="R130" s="113"/>
      <c r="S130" s="113">
        <v>20000</v>
      </c>
      <c r="T130" s="113">
        <v>20000</v>
      </c>
      <c r="U130" s="113"/>
      <c r="V130" s="113"/>
      <c r="W130" s="113"/>
      <c r="X130" s="113">
        <v>20000</v>
      </c>
      <c r="Y130" s="113">
        <v>279.42</v>
      </c>
      <c r="Z130" s="113"/>
      <c r="AA130" s="113"/>
      <c r="AB130" s="113"/>
      <c r="AC130" s="113">
        <v>279.42</v>
      </c>
      <c r="AD130" s="348">
        <f t="shared" si="5"/>
        <v>1.3971000000000001E-2</v>
      </c>
      <c r="AE130" s="348"/>
      <c r="AF130" s="348"/>
      <c r="AG130" s="348"/>
      <c r="AH130" s="348">
        <f>AC130/X130</f>
        <v>1.3971000000000001E-2</v>
      </c>
    </row>
    <row r="131" spans="1:34" ht="31.5">
      <c r="A131" s="347" t="s">
        <v>23</v>
      </c>
      <c r="B131" s="337" t="s">
        <v>424</v>
      </c>
      <c r="C131" s="347" t="s">
        <v>284</v>
      </c>
      <c r="D131" s="347"/>
      <c r="E131" s="369">
        <v>2017</v>
      </c>
      <c r="F131" s="369" t="s">
        <v>425</v>
      </c>
      <c r="G131" s="113">
        <v>34977</v>
      </c>
      <c r="H131" s="113"/>
      <c r="I131" s="113"/>
      <c r="J131" s="113"/>
      <c r="K131" s="113">
        <v>34977</v>
      </c>
      <c r="L131" s="113">
        <v>33914</v>
      </c>
      <c r="M131" s="113"/>
      <c r="N131" s="113"/>
      <c r="O131" s="113">
        <v>33914</v>
      </c>
      <c r="P131" s="113">
        <v>28000</v>
      </c>
      <c r="Q131" s="113"/>
      <c r="R131" s="113"/>
      <c r="S131" s="113">
        <v>28000</v>
      </c>
      <c r="T131" s="113">
        <v>28000</v>
      </c>
      <c r="U131" s="113"/>
      <c r="V131" s="113"/>
      <c r="W131" s="113"/>
      <c r="X131" s="113">
        <v>28000</v>
      </c>
      <c r="Y131" s="113">
        <v>27325.7</v>
      </c>
      <c r="Z131" s="113"/>
      <c r="AA131" s="113"/>
      <c r="AB131" s="113"/>
      <c r="AC131" s="113">
        <v>27325.7</v>
      </c>
      <c r="AD131" s="348">
        <f t="shared" si="5"/>
        <v>0.97591785714285717</v>
      </c>
      <c r="AE131" s="348"/>
      <c r="AF131" s="348"/>
      <c r="AG131" s="348"/>
      <c r="AH131" s="348">
        <f>AC131/X131</f>
        <v>0.97591785714285717</v>
      </c>
    </row>
    <row r="132" spans="1:34" ht="31.5">
      <c r="A132" s="347" t="s">
        <v>23</v>
      </c>
      <c r="B132" s="337" t="s">
        <v>426</v>
      </c>
      <c r="C132" s="347" t="s">
        <v>427</v>
      </c>
      <c r="D132" s="347"/>
      <c r="E132" s="369">
        <v>2017</v>
      </c>
      <c r="F132" s="369" t="s">
        <v>428</v>
      </c>
      <c r="G132" s="113">
        <v>14854</v>
      </c>
      <c r="H132" s="113"/>
      <c r="I132" s="113"/>
      <c r="J132" s="113"/>
      <c r="K132" s="113">
        <v>14854</v>
      </c>
      <c r="L132" s="113">
        <v>14644</v>
      </c>
      <c r="M132" s="113"/>
      <c r="N132" s="113"/>
      <c r="O132" s="113">
        <v>14644</v>
      </c>
      <c r="P132" s="113">
        <v>14641</v>
      </c>
      <c r="Q132" s="113"/>
      <c r="R132" s="113"/>
      <c r="S132" s="113">
        <v>14641</v>
      </c>
      <c r="T132" s="113">
        <v>14640.665999999999</v>
      </c>
      <c r="U132" s="113"/>
      <c r="V132" s="113"/>
      <c r="W132" s="113"/>
      <c r="X132" s="113">
        <v>14640.665999999999</v>
      </c>
      <c r="Y132" s="113">
        <v>14307.741</v>
      </c>
      <c r="Z132" s="113"/>
      <c r="AA132" s="113"/>
      <c r="AB132" s="113"/>
      <c r="AC132" s="113">
        <v>14307.741</v>
      </c>
      <c r="AD132" s="348">
        <f t="shared" si="5"/>
        <v>0.977260255783446</v>
      </c>
      <c r="AE132" s="348"/>
      <c r="AF132" s="348"/>
      <c r="AG132" s="348"/>
      <c r="AH132" s="348">
        <f>AC132/X132</f>
        <v>0.977260255783446</v>
      </c>
    </row>
    <row r="133" spans="1:34" s="346" customFormat="1" ht="31.5">
      <c r="A133" s="334">
        <v>29</v>
      </c>
      <c r="B133" s="335" t="s">
        <v>155</v>
      </c>
      <c r="C133" s="334"/>
      <c r="D133" s="334"/>
      <c r="E133" s="357"/>
      <c r="F133" s="357"/>
      <c r="G133" s="345"/>
      <c r="H133" s="345"/>
      <c r="I133" s="345"/>
      <c r="J133" s="345"/>
      <c r="K133" s="345"/>
      <c r="L133" s="345"/>
      <c r="M133" s="345"/>
      <c r="N133" s="345"/>
      <c r="O133" s="345"/>
      <c r="P133" s="345"/>
      <c r="Q133" s="345"/>
      <c r="R133" s="345"/>
      <c r="S133" s="345"/>
      <c r="T133" s="345"/>
      <c r="U133" s="345"/>
      <c r="V133" s="345"/>
      <c r="W133" s="345"/>
      <c r="X133" s="345"/>
      <c r="Y133" s="345"/>
      <c r="Z133" s="345"/>
      <c r="AA133" s="345"/>
      <c r="AB133" s="345"/>
      <c r="AC133" s="345"/>
      <c r="AD133" s="348"/>
      <c r="AE133" s="348"/>
      <c r="AF133" s="348"/>
      <c r="AG133" s="348"/>
      <c r="AH133" s="348"/>
    </row>
    <row r="134" spans="1:34" ht="31.5">
      <c r="A134" s="347" t="s">
        <v>23</v>
      </c>
      <c r="B134" s="337" t="s">
        <v>429</v>
      </c>
      <c r="C134" s="347" t="s">
        <v>261</v>
      </c>
      <c r="D134" s="347"/>
      <c r="E134" s="369" t="s">
        <v>290</v>
      </c>
      <c r="F134" s="369" t="s">
        <v>430</v>
      </c>
      <c r="G134" s="113">
        <v>24994</v>
      </c>
      <c r="H134" s="113"/>
      <c r="I134" s="113"/>
      <c r="J134" s="113"/>
      <c r="K134" s="113">
        <v>24994</v>
      </c>
      <c r="L134" s="113">
        <v>17939</v>
      </c>
      <c r="M134" s="113"/>
      <c r="N134" s="113"/>
      <c r="O134" s="113">
        <v>17939</v>
      </c>
      <c r="P134" s="113">
        <v>10000</v>
      </c>
      <c r="Q134" s="113"/>
      <c r="R134" s="113"/>
      <c r="S134" s="113">
        <v>10000</v>
      </c>
      <c r="T134" s="113">
        <v>10000</v>
      </c>
      <c r="U134" s="113"/>
      <c r="V134" s="113"/>
      <c r="W134" s="113"/>
      <c r="X134" s="113">
        <v>10000</v>
      </c>
      <c r="Y134" s="113">
        <v>9250.4879999999994</v>
      </c>
      <c r="Z134" s="113"/>
      <c r="AA134" s="113"/>
      <c r="AB134" s="113"/>
      <c r="AC134" s="113">
        <v>9250.4879999999994</v>
      </c>
      <c r="AD134" s="348">
        <f t="shared" si="5"/>
        <v>0.92504879999999989</v>
      </c>
      <c r="AE134" s="348"/>
      <c r="AF134" s="348"/>
      <c r="AG134" s="348"/>
      <c r="AH134" s="348">
        <f>AC134/X134</f>
        <v>0.92504879999999989</v>
      </c>
    </row>
    <row r="135" spans="1:34" ht="31.5">
      <c r="A135" s="347" t="s">
        <v>23</v>
      </c>
      <c r="B135" s="337" t="s">
        <v>431</v>
      </c>
      <c r="C135" s="347" t="s">
        <v>287</v>
      </c>
      <c r="D135" s="347"/>
      <c r="E135" s="369" t="s">
        <v>214</v>
      </c>
      <c r="F135" s="369" t="s">
        <v>432</v>
      </c>
      <c r="G135" s="113">
        <v>121023</v>
      </c>
      <c r="H135" s="113"/>
      <c r="I135" s="113"/>
      <c r="J135" s="113"/>
      <c r="K135" s="113">
        <v>121023</v>
      </c>
      <c r="L135" s="113">
        <v>3120.31</v>
      </c>
      <c r="M135" s="113"/>
      <c r="N135" s="113"/>
      <c r="O135" s="113">
        <v>3120.31</v>
      </c>
      <c r="P135" s="113">
        <v>38950</v>
      </c>
      <c r="Q135" s="113"/>
      <c r="R135" s="113"/>
      <c r="S135" s="113">
        <v>38950</v>
      </c>
      <c r="T135" s="113">
        <v>38950</v>
      </c>
      <c r="U135" s="113"/>
      <c r="V135" s="113"/>
      <c r="W135" s="113"/>
      <c r="X135" s="113">
        <v>38950</v>
      </c>
      <c r="Y135" s="113">
        <v>2722.31</v>
      </c>
      <c r="Z135" s="113"/>
      <c r="AA135" s="113"/>
      <c r="AB135" s="113"/>
      <c r="AC135" s="113">
        <v>2722.31</v>
      </c>
      <c r="AD135" s="348">
        <f t="shared" si="5"/>
        <v>6.9892426187419768E-2</v>
      </c>
      <c r="AE135" s="348"/>
      <c r="AF135" s="348"/>
      <c r="AG135" s="348"/>
      <c r="AH135" s="348">
        <f>AC135/X135</f>
        <v>6.9892426187419768E-2</v>
      </c>
    </row>
    <row r="136" spans="1:34" ht="47.25">
      <c r="A136" s="347" t="s">
        <v>23</v>
      </c>
      <c r="B136" s="337" t="s">
        <v>433</v>
      </c>
      <c r="C136" s="347" t="s">
        <v>287</v>
      </c>
      <c r="D136" s="347"/>
      <c r="E136" s="369" t="s">
        <v>214</v>
      </c>
      <c r="F136" s="369" t="s">
        <v>434</v>
      </c>
      <c r="G136" s="113">
        <v>21355</v>
      </c>
      <c r="H136" s="113"/>
      <c r="I136" s="113">
        <v>20000</v>
      </c>
      <c r="J136" s="113"/>
      <c r="K136" s="113">
        <v>1355</v>
      </c>
      <c r="L136" s="113">
        <v>1915.2</v>
      </c>
      <c r="M136" s="113"/>
      <c r="N136" s="113">
        <v>1915.2</v>
      </c>
      <c r="O136" s="113"/>
      <c r="P136" s="113">
        <v>20000</v>
      </c>
      <c r="Q136" s="113"/>
      <c r="R136" s="113">
        <v>20000</v>
      </c>
      <c r="S136" s="113"/>
      <c r="T136" s="113">
        <v>20000</v>
      </c>
      <c r="U136" s="113"/>
      <c r="V136" s="113">
        <v>20000</v>
      </c>
      <c r="W136" s="113"/>
      <c r="X136" s="113"/>
      <c r="Y136" s="113">
        <v>1201.422</v>
      </c>
      <c r="Z136" s="113"/>
      <c r="AA136" s="113">
        <v>1201.422</v>
      </c>
      <c r="AB136" s="113"/>
      <c r="AC136" s="113"/>
      <c r="AD136" s="348">
        <f t="shared" si="5"/>
        <v>6.0071100000000002E-2</v>
      </c>
      <c r="AE136" s="348"/>
      <c r="AF136" s="348">
        <f t="shared" si="6"/>
        <v>6.0071100000000002E-2</v>
      </c>
      <c r="AG136" s="348"/>
      <c r="AH136" s="348"/>
    </row>
    <row r="137" spans="1:34" s="346" customFormat="1" ht="31.5">
      <c r="A137" s="334">
        <v>30</v>
      </c>
      <c r="B137" s="335" t="s">
        <v>156</v>
      </c>
      <c r="C137" s="334"/>
      <c r="D137" s="334"/>
      <c r="E137" s="357"/>
      <c r="F137" s="357"/>
      <c r="G137" s="345"/>
      <c r="H137" s="345"/>
      <c r="I137" s="345"/>
      <c r="J137" s="345"/>
      <c r="K137" s="345"/>
      <c r="L137" s="345"/>
      <c r="M137" s="345"/>
      <c r="N137" s="345"/>
      <c r="O137" s="345"/>
      <c r="P137" s="345"/>
      <c r="Q137" s="345"/>
      <c r="R137" s="345"/>
      <c r="S137" s="345"/>
      <c r="T137" s="345"/>
      <c r="U137" s="345"/>
      <c r="V137" s="345"/>
      <c r="W137" s="345"/>
      <c r="X137" s="345"/>
      <c r="Y137" s="345"/>
      <c r="Z137" s="345"/>
      <c r="AA137" s="345"/>
      <c r="AB137" s="345"/>
      <c r="AC137" s="345"/>
      <c r="AD137" s="348"/>
      <c r="AE137" s="348"/>
      <c r="AF137" s="348"/>
      <c r="AG137" s="348"/>
      <c r="AH137" s="348"/>
    </row>
    <row r="138" spans="1:34" ht="110.25">
      <c r="A138" s="347" t="s">
        <v>23</v>
      </c>
      <c r="B138" s="337" t="s">
        <v>435</v>
      </c>
      <c r="C138" s="347" t="s">
        <v>436</v>
      </c>
      <c r="D138" s="347"/>
      <c r="E138" s="369" t="s">
        <v>437</v>
      </c>
      <c r="F138" s="369" t="s">
        <v>438</v>
      </c>
      <c r="G138" s="113">
        <v>267869</v>
      </c>
      <c r="H138" s="113">
        <v>244901</v>
      </c>
      <c r="I138" s="113"/>
      <c r="J138" s="113"/>
      <c r="K138" s="113"/>
      <c r="L138" s="113">
        <v>159016</v>
      </c>
      <c r="M138" s="113">
        <v>149265</v>
      </c>
      <c r="N138" s="113"/>
      <c r="O138" s="113"/>
      <c r="P138" s="113">
        <v>159016</v>
      </c>
      <c r="Q138" s="113">
        <v>149265</v>
      </c>
      <c r="R138" s="113"/>
      <c r="S138" s="113"/>
      <c r="T138" s="113">
        <v>98953.982580000011</v>
      </c>
      <c r="U138" s="113">
        <v>94901.163039999999</v>
      </c>
      <c r="V138" s="113">
        <v>774.64710000000002</v>
      </c>
      <c r="W138" s="113"/>
      <c r="X138" s="113">
        <f>T138-U138-V138</f>
        <v>3278.1724400000112</v>
      </c>
      <c r="Y138" s="113">
        <f>SUM(Z138:AC138)</f>
        <v>79170.461265999998</v>
      </c>
      <c r="Z138" s="113">
        <v>76659.682713999995</v>
      </c>
      <c r="AA138" s="113">
        <v>774.64710000000002</v>
      </c>
      <c r="AB138" s="113"/>
      <c r="AC138" s="113">
        <v>1736.1314520000001</v>
      </c>
      <c r="AD138" s="348">
        <f t="shared" si="5"/>
        <v>0.80007352106312757</v>
      </c>
      <c r="AE138" s="348">
        <f t="shared" si="5"/>
        <v>0.80778443865528415</v>
      </c>
      <c r="AF138" s="348">
        <f t="shared" si="6"/>
        <v>1</v>
      </c>
      <c r="AG138" s="348"/>
      <c r="AH138" s="348">
        <f>AC138/X138</f>
        <v>0.5296034555155964</v>
      </c>
    </row>
    <row r="139" spans="1:34" s="346" customFormat="1">
      <c r="A139" s="334">
        <v>31</v>
      </c>
      <c r="B139" s="335" t="s">
        <v>157</v>
      </c>
      <c r="C139" s="334"/>
      <c r="D139" s="334"/>
      <c r="E139" s="357"/>
      <c r="F139" s="357"/>
      <c r="G139" s="345"/>
      <c r="H139" s="345"/>
      <c r="I139" s="345"/>
      <c r="J139" s="345"/>
      <c r="K139" s="345"/>
      <c r="L139" s="345"/>
      <c r="M139" s="345"/>
      <c r="N139" s="345"/>
      <c r="O139" s="345"/>
      <c r="P139" s="345"/>
      <c r="Q139" s="345"/>
      <c r="R139" s="345"/>
      <c r="S139" s="345"/>
      <c r="T139" s="345"/>
      <c r="U139" s="345"/>
      <c r="V139" s="345"/>
      <c r="W139" s="345"/>
      <c r="X139" s="345"/>
      <c r="Y139" s="345"/>
      <c r="Z139" s="345"/>
      <c r="AA139" s="345"/>
      <c r="AB139" s="345"/>
      <c r="AC139" s="345"/>
      <c r="AD139" s="348"/>
      <c r="AE139" s="348"/>
      <c r="AF139" s="348"/>
      <c r="AG139" s="348"/>
      <c r="AH139" s="348"/>
    </row>
    <row r="140" spans="1:34" ht="31.5">
      <c r="A140" s="347" t="s">
        <v>23</v>
      </c>
      <c r="B140" s="337" t="s">
        <v>439</v>
      </c>
      <c r="C140" s="347" t="s">
        <v>287</v>
      </c>
      <c r="D140" s="347"/>
      <c r="E140" s="369" t="s">
        <v>440</v>
      </c>
      <c r="F140" s="369" t="s">
        <v>441</v>
      </c>
      <c r="G140" s="113">
        <v>84757</v>
      </c>
      <c r="H140" s="113"/>
      <c r="I140" s="113"/>
      <c r="J140" s="113"/>
      <c r="K140" s="113"/>
      <c r="L140" s="113">
        <v>52471</v>
      </c>
      <c r="M140" s="113"/>
      <c r="N140" s="113"/>
      <c r="O140" s="113"/>
      <c r="P140" s="113">
        <v>48842</v>
      </c>
      <c r="Q140" s="113"/>
      <c r="R140" s="113"/>
      <c r="S140" s="113"/>
      <c r="T140" s="113">
        <v>1111.963</v>
      </c>
      <c r="U140" s="113"/>
      <c r="V140" s="113"/>
      <c r="W140" s="113"/>
      <c r="X140" s="113">
        <v>1111.963</v>
      </c>
      <c r="Y140" s="113">
        <v>1111.963</v>
      </c>
      <c r="Z140" s="113"/>
      <c r="AA140" s="113"/>
      <c r="AB140" s="113"/>
      <c r="AC140" s="113">
        <v>1111.963</v>
      </c>
      <c r="AD140" s="348">
        <f t="shared" si="5"/>
        <v>1</v>
      </c>
      <c r="AE140" s="348"/>
      <c r="AF140" s="348"/>
      <c r="AG140" s="348"/>
      <c r="AH140" s="348">
        <f t="shared" ref="AH140:AH166" si="8">AC140/X140</f>
        <v>1</v>
      </c>
    </row>
    <row r="141" spans="1:34" ht="47.25">
      <c r="A141" s="347" t="s">
        <v>23</v>
      </c>
      <c r="B141" s="337" t="s">
        <v>442</v>
      </c>
      <c r="C141" s="347" t="s">
        <v>287</v>
      </c>
      <c r="D141" s="347"/>
      <c r="E141" s="369" t="s">
        <v>443</v>
      </c>
      <c r="F141" s="369" t="s">
        <v>444</v>
      </c>
      <c r="G141" s="113">
        <v>16530</v>
      </c>
      <c r="H141" s="113"/>
      <c r="I141" s="113"/>
      <c r="J141" s="113"/>
      <c r="K141" s="113"/>
      <c r="L141" s="113">
        <v>12021</v>
      </c>
      <c r="M141" s="113"/>
      <c r="N141" s="113"/>
      <c r="O141" s="113"/>
      <c r="P141" s="113">
        <v>12019</v>
      </c>
      <c r="Q141" s="113"/>
      <c r="R141" s="113"/>
      <c r="S141" s="113"/>
      <c r="T141" s="113">
        <f>438.742-52.668871</f>
        <v>386.07312899999999</v>
      </c>
      <c r="U141" s="113"/>
      <c r="V141" s="113"/>
      <c r="W141" s="113"/>
      <c r="X141" s="113">
        <f>438.742-52.668871</f>
        <v>386.07312899999999</v>
      </c>
      <c r="Y141" s="113">
        <v>384.61475000000002</v>
      </c>
      <c r="Z141" s="113"/>
      <c r="AA141" s="113"/>
      <c r="AB141" s="113"/>
      <c r="AC141" s="113">
        <v>384.61475000000002</v>
      </c>
      <c r="AD141" s="348">
        <f t="shared" si="5"/>
        <v>0.99622253171626463</v>
      </c>
      <c r="AE141" s="348"/>
      <c r="AF141" s="348"/>
      <c r="AG141" s="348"/>
      <c r="AH141" s="348">
        <f t="shared" si="8"/>
        <v>0.99622253171626463</v>
      </c>
    </row>
    <row r="142" spans="1:34" ht="63">
      <c r="A142" s="347" t="s">
        <v>23</v>
      </c>
      <c r="B142" s="337" t="s">
        <v>445</v>
      </c>
      <c r="C142" s="347" t="s">
        <v>446</v>
      </c>
      <c r="D142" s="347"/>
      <c r="E142" s="369" t="s">
        <v>447</v>
      </c>
      <c r="F142" s="369" t="s">
        <v>448</v>
      </c>
      <c r="G142" s="113">
        <v>53324</v>
      </c>
      <c r="H142" s="113"/>
      <c r="I142" s="113"/>
      <c r="J142" s="113"/>
      <c r="K142" s="113"/>
      <c r="L142" s="113">
        <v>38914</v>
      </c>
      <c r="M142" s="113"/>
      <c r="N142" s="113"/>
      <c r="O142" s="113"/>
      <c r="P142" s="113">
        <v>39044</v>
      </c>
      <c r="Q142" s="113"/>
      <c r="R142" s="113"/>
      <c r="S142" s="113"/>
      <c r="T142" s="113">
        <f>2352.365+1395.256</f>
        <v>3747.6210000000001</v>
      </c>
      <c r="U142" s="113"/>
      <c r="V142" s="113"/>
      <c r="W142" s="113"/>
      <c r="X142" s="113">
        <f>2352.365+1395.256</f>
        <v>3747.6210000000001</v>
      </c>
      <c r="Y142" s="113">
        <v>2352.3649999999998</v>
      </c>
      <c r="Z142" s="113"/>
      <c r="AA142" s="113"/>
      <c r="AB142" s="113"/>
      <c r="AC142" s="113">
        <v>2352.3649999999998</v>
      </c>
      <c r="AD142" s="348">
        <f t="shared" ref="AD142:AE204" si="9">Y142/T142</f>
        <v>0.62769554338605738</v>
      </c>
      <c r="AE142" s="348"/>
      <c r="AF142" s="348"/>
      <c r="AG142" s="348"/>
      <c r="AH142" s="348">
        <f t="shared" si="8"/>
        <v>0.62769554338605738</v>
      </c>
    </row>
    <row r="143" spans="1:34" ht="31.5">
      <c r="A143" s="347" t="s">
        <v>23</v>
      </c>
      <c r="B143" s="337" t="s">
        <v>449</v>
      </c>
      <c r="C143" s="347" t="s">
        <v>287</v>
      </c>
      <c r="D143" s="347"/>
      <c r="E143" s="369" t="s">
        <v>447</v>
      </c>
      <c r="F143" s="369" t="s">
        <v>450</v>
      </c>
      <c r="G143" s="113">
        <v>35838</v>
      </c>
      <c r="H143" s="113"/>
      <c r="I143" s="113"/>
      <c r="J143" s="113"/>
      <c r="K143" s="113"/>
      <c r="L143" s="113">
        <v>27547</v>
      </c>
      <c r="M143" s="113"/>
      <c r="N143" s="113"/>
      <c r="O143" s="113"/>
      <c r="P143" s="113">
        <v>27046</v>
      </c>
      <c r="Q143" s="113"/>
      <c r="R143" s="113"/>
      <c r="S143" s="113"/>
      <c r="T143" s="113">
        <v>230.53620000000001</v>
      </c>
      <c r="U143" s="113"/>
      <c r="V143" s="113"/>
      <c r="W143" s="113"/>
      <c r="X143" s="113">
        <v>230.53620000000001</v>
      </c>
      <c r="Y143" s="113">
        <v>96.236500000000007</v>
      </c>
      <c r="Z143" s="113"/>
      <c r="AA143" s="113"/>
      <c r="AB143" s="113"/>
      <c r="AC143" s="113">
        <v>96.236500000000007</v>
      </c>
      <c r="AD143" s="348">
        <f t="shared" si="9"/>
        <v>0.41744637067844442</v>
      </c>
      <c r="AE143" s="348"/>
      <c r="AF143" s="348"/>
      <c r="AG143" s="348"/>
      <c r="AH143" s="348">
        <f t="shared" si="8"/>
        <v>0.41744637067844442</v>
      </c>
    </row>
    <row r="144" spans="1:34" ht="31.5">
      <c r="A144" s="347" t="s">
        <v>23</v>
      </c>
      <c r="B144" s="337" t="s">
        <v>451</v>
      </c>
      <c r="C144" s="347" t="s">
        <v>287</v>
      </c>
      <c r="D144" s="347"/>
      <c r="E144" s="369" t="s">
        <v>452</v>
      </c>
      <c r="F144" s="369" t="s">
        <v>453</v>
      </c>
      <c r="G144" s="113">
        <v>59863</v>
      </c>
      <c r="H144" s="113"/>
      <c r="I144" s="113"/>
      <c r="J144" s="113"/>
      <c r="K144" s="113">
        <v>59863</v>
      </c>
      <c r="L144" s="113">
        <v>10410</v>
      </c>
      <c r="M144" s="113"/>
      <c r="N144" s="113"/>
      <c r="O144" s="113">
        <v>10410</v>
      </c>
      <c r="P144" s="113">
        <v>10410</v>
      </c>
      <c r="Q144" s="113"/>
      <c r="R144" s="113"/>
      <c r="S144" s="113">
        <v>10410</v>
      </c>
      <c r="T144" s="113">
        <v>74.657728000000006</v>
      </c>
      <c r="U144" s="113"/>
      <c r="V144" s="113"/>
      <c r="W144" s="113"/>
      <c r="X144" s="113">
        <v>74.657728000000006</v>
      </c>
      <c r="Y144" s="113">
        <v>74.657728000000006</v>
      </c>
      <c r="Z144" s="113"/>
      <c r="AA144" s="113"/>
      <c r="AB144" s="113"/>
      <c r="AC144" s="113">
        <v>74.657728000000006</v>
      </c>
      <c r="AD144" s="348">
        <f t="shared" si="9"/>
        <v>1</v>
      </c>
      <c r="AE144" s="348"/>
      <c r="AF144" s="348"/>
      <c r="AG144" s="348"/>
      <c r="AH144" s="348">
        <f t="shared" si="8"/>
        <v>1</v>
      </c>
    </row>
    <row r="145" spans="1:34" ht="31.5">
      <c r="A145" s="347" t="s">
        <v>23</v>
      </c>
      <c r="B145" s="337" t="s">
        <v>454</v>
      </c>
      <c r="C145" s="347" t="s">
        <v>287</v>
      </c>
      <c r="D145" s="347"/>
      <c r="E145" s="369" t="s">
        <v>452</v>
      </c>
      <c r="F145" s="369"/>
      <c r="G145" s="113"/>
      <c r="H145" s="113"/>
      <c r="I145" s="113"/>
      <c r="J145" s="113"/>
      <c r="K145" s="113"/>
      <c r="L145" s="113"/>
      <c r="M145" s="113"/>
      <c r="N145" s="113"/>
      <c r="O145" s="113"/>
      <c r="P145" s="113"/>
      <c r="Q145" s="113"/>
      <c r="R145" s="113"/>
      <c r="S145" s="113"/>
      <c r="T145" s="113">
        <v>3850.8866800000001</v>
      </c>
      <c r="U145" s="113"/>
      <c r="V145" s="113"/>
      <c r="W145" s="113"/>
      <c r="X145" s="113">
        <v>3850.8866800000001</v>
      </c>
      <c r="Y145" s="113">
        <v>544.96792000000005</v>
      </c>
      <c r="Z145" s="113"/>
      <c r="AA145" s="113"/>
      <c r="AB145" s="113"/>
      <c r="AC145" s="113">
        <v>544.96792000000005</v>
      </c>
      <c r="AD145" s="348">
        <f t="shared" si="9"/>
        <v>0.14151751668787096</v>
      </c>
      <c r="AE145" s="348"/>
      <c r="AF145" s="348"/>
      <c r="AG145" s="348"/>
      <c r="AH145" s="348">
        <f t="shared" si="8"/>
        <v>0.14151751668787096</v>
      </c>
    </row>
    <row r="146" spans="1:34" ht="31.5">
      <c r="A146" s="347" t="s">
        <v>23</v>
      </c>
      <c r="B146" s="337" t="s">
        <v>455</v>
      </c>
      <c r="C146" s="347" t="s">
        <v>287</v>
      </c>
      <c r="D146" s="347"/>
      <c r="E146" s="369" t="s">
        <v>214</v>
      </c>
      <c r="F146" s="369" t="s">
        <v>456</v>
      </c>
      <c r="G146" s="113">
        <v>983583</v>
      </c>
      <c r="H146" s="113"/>
      <c r="I146" s="113"/>
      <c r="J146" s="113"/>
      <c r="K146" s="113"/>
      <c r="L146" s="113">
        <v>884287</v>
      </c>
      <c r="M146" s="113"/>
      <c r="N146" s="113"/>
      <c r="O146" s="113"/>
      <c r="P146" s="113">
        <v>828686</v>
      </c>
      <c r="Q146" s="113"/>
      <c r="R146" s="113"/>
      <c r="S146" s="113"/>
      <c r="T146" s="113">
        <f>7703.9236+0.023636</f>
        <v>7703.947236</v>
      </c>
      <c r="U146" s="113"/>
      <c r="V146" s="113">
        <v>7300</v>
      </c>
      <c r="W146" s="113"/>
      <c r="X146" s="113">
        <f>T146-V146</f>
        <v>403.94723599999998</v>
      </c>
      <c r="Y146" s="113">
        <v>7300</v>
      </c>
      <c r="Z146" s="113"/>
      <c r="AA146" s="113">
        <v>7300</v>
      </c>
      <c r="AB146" s="113"/>
      <c r="AC146" s="113"/>
      <c r="AD146" s="348">
        <f t="shared" si="9"/>
        <v>0.94756619903724382</v>
      </c>
      <c r="AE146" s="348"/>
      <c r="AF146" s="348">
        <f t="shared" ref="AF146:AF177" si="10">AA146/V146</f>
        <v>1</v>
      </c>
      <c r="AG146" s="348"/>
      <c r="AH146" s="348">
        <f t="shared" si="8"/>
        <v>0</v>
      </c>
    </row>
    <row r="147" spans="1:34" ht="47.25">
      <c r="A147" s="347" t="s">
        <v>23</v>
      </c>
      <c r="B147" s="337" t="s">
        <v>457</v>
      </c>
      <c r="C147" s="347" t="s">
        <v>287</v>
      </c>
      <c r="D147" s="347"/>
      <c r="E147" s="369"/>
      <c r="F147" s="369"/>
      <c r="G147" s="113"/>
      <c r="H147" s="113"/>
      <c r="I147" s="113"/>
      <c r="J147" s="113"/>
      <c r="K147" s="113"/>
      <c r="L147" s="113">
        <v>27418</v>
      </c>
      <c r="M147" s="113"/>
      <c r="N147" s="113"/>
      <c r="O147" s="113"/>
      <c r="P147" s="113">
        <v>27493</v>
      </c>
      <c r="Q147" s="113"/>
      <c r="R147" s="113"/>
      <c r="S147" s="113"/>
      <c r="T147" s="113">
        <v>220.56134399999999</v>
      </c>
      <c r="U147" s="113"/>
      <c r="V147" s="113"/>
      <c r="W147" s="113"/>
      <c r="X147" s="113">
        <v>220.56134399999999</v>
      </c>
      <c r="Y147" s="113">
        <v>0</v>
      </c>
      <c r="Z147" s="113"/>
      <c r="AA147" s="113"/>
      <c r="AB147" s="113"/>
      <c r="AC147" s="113"/>
      <c r="AD147" s="348">
        <f t="shared" si="9"/>
        <v>0</v>
      </c>
      <c r="AE147" s="348"/>
      <c r="AF147" s="348"/>
      <c r="AG147" s="348"/>
      <c r="AH147" s="348">
        <f t="shared" si="8"/>
        <v>0</v>
      </c>
    </row>
    <row r="148" spans="1:34" ht="31.5">
      <c r="A148" s="347" t="s">
        <v>23</v>
      </c>
      <c r="B148" s="337" t="s">
        <v>458</v>
      </c>
      <c r="C148" s="347" t="s">
        <v>287</v>
      </c>
      <c r="D148" s="347"/>
      <c r="E148" s="369" t="s">
        <v>459</v>
      </c>
      <c r="F148" s="369" t="s">
        <v>460</v>
      </c>
      <c r="G148" s="113">
        <v>109740</v>
      </c>
      <c r="H148" s="113"/>
      <c r="I148" s="113"/>
      <c r="J148" s="113"/>
      <c r="K148" s="113"/>
      <c r="L148" s="113">
        <v>56187</v>
      </c>
      <c r="M148" s="113"/>
      <c r="N148" s="113"/>
      <c r="O148" s="113"/>
      <c r="P148" s="113">
        <v>54549</v>
      </c>
      <c r="Q148" s="113"/>
      <c r="R148" s="113"/>
      <c r="S148" s="113"/>
      <c r="T148" s="113">
        <v>794.51113799999996</v>
      </c>
      <c r="U148" s="113"/>
      <c r="V148" s="113"/>
      <c r="W148" s="113"/>
      <c r="X148" s="113">
        <v>794.51113799999996</v>
      </c>
      <c r="Y148" s="113">
        <v>744.43013800000006</v>
      </c>
      <c r="Z148" s="113"/>
      <c r="AA148" s="113"/>
      <c r="AB148" s="113"/>
      <c r="AC148" s="113">
        <v>744.43013800000006</v>
      </c>
      <c r="AD148" s="348">
        <f t="shared" si="9"/>
        <v>0.93696627069814609</v>
      </c>
      <c r="AE148" s="348"/>
      <c r="AF148" s="348"/>
      <c r="AG148" s="348"/>
      <c r="AH148" s="348">
        <f t="shared" si="8"/>
        <v>0.93696627069814609</v>
      </c>
    </row>
    <row r="149" spans="1:34" ht="31.5">
      <c r="A149" s="347" t="s">
        <v>23</v>
      </c>
      <c r="B149" s="337" t="s">
        <v>461</v>
      </c>
      <c r="C149" s="347" t="s">
        <v>287</v>
      </c>
      <c r="D149" s="347"/>
      <c r="E149" s="369" t="s">
        <v>462</v>
      </c>
      <c r="F149" s="369" t="s">
        <v>463</v>
      </c>
      <c r="G149" s="113">
        <v>167208</v>
      </c>
      <c r="H149" s="113"/>
      <c r="I149" s="113"/>
      <c r="J149" s="113"/>
      <c r="K149" s="113"/>
      <c r="L149" s="113">
        <v>33570</v>
      </c>
      <c r="M149" s="113"/>
      <c r="N149" s="113"/>
      <c r="O149" s="113"/>
      <c r="P149" s="113">
        <v>35099</v>
      </c>
      <c r="Q149" s="113"/>
      <c r="R149" s="113"/>
      <c r="S149" s="113"/>
      <c r="T149" s="113">
        <f>2887.340597</f>
        <v>2887.3405969999999</v>
      </c>
      <c r="U149" s="113"/>
      <c r="V149" s="113"/>
      <c r="W149" s="113"/>
      <c r="X149" s="113">
        <f>2887.340597</f>
        <v>2887.3405969999999</v>
      </c>
      <c r="Y149" s="113">
        <v>863.28766599999994</v>
      </c>
      <c r="Z149" s="113"/>
      <c r="AA149" s="113"/>
      <c r="AB149" s="113"/>
      <c r="AC149" s="113">
        <v>863.28766599999994</v>
      </c>
      <c r="AD149" s="348">
        <f t="shared" si="9"/>
        <v>0.29899058908982601</v>
      </c>
      <c r="AE149" s="348"/>
      <c r="AF149" s="348"/>
      <c r="AG149" s="348"/>
      <c r="AH149" s="348">
        <f t="shared" si="8"/>
        <v>0.29899058908982601</v>
      </c>
    </row>
    <row r="150" spans="1:34" ht="31.5">
      <c r="A150" s="347" t="s">
        <v>23</v>
      </c>
      <c r="B150" s="337" t="s">
        <v>464</v>
      </c>
      <c r="C150" s="347" t="s">
        <v>287</v>
      </c>
      <c r="D150" s="347"/>
      <c r="E150" s="369">
        <v>2005</v>
      </c>
      <c r="F150" s="369" t="s">
        <v>465</v>
      </c>
      <c r="G150" s="113">
        <v>76920</v>
      </c>
      <c r="H150" s="113"/>
      <c r="I150" s="113"/>
      <c r="J150" s="113"/>
      <c r="K150" s="113"/>
      <c r="L150" s="113">
        <v>788</v>
      </c>
      <c r="M150" s="113"/>
      <c r="N150" s="113"/>
      <c r="O150" s="113"/>
      <c r="P150" s="113">
        <v>2563</v>
      </c>
      <c r="Q150" s="113"/>
      <c r="R150" s="113"/>
      <c r="S150" s="113"/>
      <c r="T150" s="113">
        <v>2000</v>
      </c>
      <c r="U150" s="113"/>
      <c r="V150" s="113"/>
      <c r="W150" s="113"/>
      <c r="X150" s="113">
        <v>2000</v>
      </c>
      <c r="Y150" s="113">
        <v>126.58499999999999</v>
      </c>
      <c r="Z150" s="113"/>
      <c r="AA150" s="113"/>
      <c r="AB150" s="113"/>
      <c r="AC150" s="113">
        <v>126.58499999999999</v>
      </c>
      <c r="AD150" s="348">
        <f t="shared" si="9"/>
        <v>6.3292500000000002E-2</v>
      </c>
      <c r="AE150" s="348"/>
      <c r="AF150" s="348"/>
      <c r="AG150" s="348"/>
      <c r="AH150" s="348">
        <f t="shared" si="8"/>
        <v>6.3292500000000002E-2</v>
      </c>
    </row>
    <row r="151" spans="1:34" ht="63">
      <c r="A151" s="347" t="s">
        <v>23</v>
      </c>
      <c r="B151" s="337" t="s">
        <v>466</v>
      </c>
      <c r="C151" s="347" t="s">
        <v>427</v>
      </c>
      <c r="D151" s="347"/>
      <c r="E151" s="369" t="s">
        <v>467</v>
      </c>
      <c r="F151" s="369" t="s">
        <v>468</v>
      </c>
      <c r="G151" s="113">
        <v>49864</v>
      </c>
      <c r="H151" s="113"/>
      <c r="I151" s="113"/>
      <c r="J151" s="113"/>
      <c r="K151" s="113"/>
      <c r="L151" s="113">
        <v>22527</v>
      </c>
      <c r="M151" s="113"/>
      <c r="N151" s="113"/>
      <c r="O151" s="113"/>
      <c r="P151" s="113">
        <v>22527</v>
      </c>
      <c r="Q151" s="113"/>
      <c r="R151" s="113">
        <v>6920</v>
      </c>
      <c r="S151" s="113">
        <v>15607</v>
      </c>
      <c r="T151" s="113">
        <v>1056.914</v>
      </c>
      <c r="U151" s="113"/>
      <c r="V151" s="113"/>
      <c r="W151" s="113"/>
      <c r="X151" s="113">
        <v>1056.914</v>
      </c>
      <c r="Y151" s="113">
        <v>1056.914</v>
      </c>
      <c r="Z151" s="113"/>
      <c r="AA151" s="113"/>
      <c r="AB151" s="113"/>
      <c r="AC151" s="113">
        <v>1056.914</v>
      </c>
      <c r="AD151" s="348">
        <f t="shared" si="9"/>
        <v>1</v>
      </c>
      <c r="AE151" s="348"/>
      <c r="AF151" s="348"/>
      <c r="AG151" s="348"/>
      <c r="AH151" s="348">
        <f t="shared" si="8"/>
        <v>1</v>
      </c>
    </row>
    <row r="152" spans="1:34" ht="110.25">
      <c r="A152" s="347" t="s">
        <v>23</v>
      </c>
      <c r="B152" s="337" t="s">
        <v>469</v>
      </c>
      <c r="C152" s="347" t="s">
        <v>470</v>
      </c>
      <c r="D152" s="347"/>
      <c r="E152" s="369" t="s">
        <v>471</v>
      </c>
      <c r="F152" s="369" t="s">
        <v>472</v>
      </c>
      <c r="G152" s="113">
        <v>3450455</v>
      </c>
      <c r="H152" s="113"/>
      <c r="I152" s="113"/>
      <c r="J152" s="113"/>
      <c r="K152" s="113"/>
      <c r="L152" s="113">
        <v>2443213</v>
      </c>
      <c r="M152" s="113"/>
      <c r="N152" s="113"/>
      <c r="O152" s="113"/>
      <c r="P152" s="113">
        <v>736510</v>
      </c>
      <c r="Q152" s="113"/>
      <c r="R152" s="113">
        <v>19210</v>
      </c>
      <c r="S152" s="113">
        <v>717300</v>
      </c>
      <c r="T152" s="113">
        <v>135428.86300000001</v>
      </c>
      <c r="U152" s="113"/>
      <c r="V152" s="113"/>
      <c r="W152" s="113">
        <v>100</v>
      </c>
      <c r="X152" s="113">
        <f>T152-W152</f>
        <v>135328.86300000001</v>
      </c>
      <c r="Y152" s="113">
        <f>AB152+AC152</f>
        <v>95928.862999999998</v>
      </c>
      <c r="Z152" s="113"/>
      <c r="AA152" s="113"/>
      <c r="AB152" s="113">
        <v>100</v>
      </c>
      <c r="AC152" s="113">
        <v>95828.862999999998</v>
      </c>
      <c r="AD152" s="348">
        <f t="shared" si="9"/>
        <v>0.70833396127677739</v>
      </c>
      <c r="AE152" s="348"/>
      <c r="AF152" s="348"/>
      <c r="AG152" s="348">
        <f>AB152/W152</f>
        <v>1</v>
      </c>
      <c r="AH152" s="348">
        <f t="shared" si="8"/>
        <v>0.70811843738020608</v>
      </c>
    </row>
    <row r="153" spans="1:34" ht="47.25">
      <c r="A153" s="347" t="s">
        <v>23</v>
      </c>
      <c r="B153" s="337" t="s">
        <v>473</v>
      </c>
      <c r="C153" s="347" t="s">
        <v>427</v>
      </c>
      <c r="D153" s="347"/>
      <c r="E153" s="369">
        <v>2012</v>
      </c>
      <c r="F153" s="369" t="s">
        <v>474</v>
      </c>
      <c r="G153" s="113">
        <v>135225</v>
      </c>
      <c r="H153" s="113"/>
      <c r="I153" s="113"/>
      <c r="J153" s="113"/>
      <c r="K153" s="113"/>
      <c r="L153" s="113">
        <v>78470</v>
      </c>
      <c r="M153" s="113"/>
      <c r="N153" s="113"/>
      <c r="O153" s="113">
        <v>78470</v>
      </c>
      <c r="P153" s="113">
        <v>63420</v>
      </c>
      <c r="Q153" s="113"/>
      <c r="R153" s="113"/>
      <c r="S153" s="113">
        <v>63420</v>
      </c>
      <c r="T153" s="113">
        <v>11558.762272</v>
      </c>
      <c r="U153" s="113"/>
      <c r="V153" s="113"/>
      <c r="W153" s="113"/>
      <c r="X153" s="113">
        <v>11558.762272</v>
      </c>
      <c r="Y153" s="113">
        <v>11113.576639999999</v>
      </c>
      <c r="Z153" s="113"/>
      <c r="AA153" s="113"/>
      <c r="AB153" s="113"/>
      <c r="AC153" s="113">
        <v>11113.576639999999</v>
      </c>
      <c r="AD153" s="348">
        <f t="shared" si="9"/>
        <v>0.96148500838377648</v>
      </c>
      <c r="AE153" s="348"/>
      <c r="AF153" s="348"/>
      <c r="AG153" s="348"/>
      <c r="AH153" s="348">
        <f t="shared" si="8"/>
        <v>0.96148500838377648</v>
      </c>
    </row>
    <row r="154" spans="1:34" ht="63">
      <c r="A154" s="347" t="s">
        <v>23</v>
      </c>
      <c r="B154" s="337" t="s">
        <v>475</v>
      </c>
      <c r="C154" s="347" t="s">
        <v>476</v>
      </c>
      <c r="D154" s="347"/>
      <c r="E154" s="369" t="s">
        <v>214</v>
      </c>
      <c r="F154" s="369" t="s">
        <v>477</v>
      </c>
      <c r="G154" s="113">
        <v>89340</v>
      </c>
      <c r="H154" s="113"/>
      <c r="I154" s="113"/>
      <c r="J154" s="113"/>
      <c r="K154" s="113"/>
      <c r="L154" s="113">
        <v>42489</v>
      </c>
      <c r="M154" s="113"/>
      <c r="N154" s="113"/>
      <c r="O154" s="113">
        <v>42489</v>
      </c>
      <c r="P154" s="113">
        <v>41040</v>
      </c>
      <c r="Q154" s="113"/>
      <c r="R154" s="113"/>
      <c r="S154" s="113">
        <v>41040</v>
      </c>
      <c r="T154" s="113">
        <v>28000</v>
      </c>
      <c r="U154" s="113"/>
      <c r="V154" s="113"/>
      <c r="W154" s="113"/>
      <c r="X154" s="113">
        <v>28000</v>
      </c>
      <c r="Y154" s="113">
        <v>27650</v>
      </c>
      <c r="Z154" s="113"/>
      <c r="AA154" s="113"/>
      <c r="AB154" s="113"/>
      <c r="AC154" s="113">
        <v>27650</v>
      </c>
      <c r="AD154" s="348">
        <f t="shared" si="9"/>
        <v>0.98750000000000004</v>
      </c>
      <c r="AE154" s="348"/>
      <c r="AF154" s="348"/>
      <c r="AG154" s="348"/>
      <c r="AH154" s="348">
        <f t="shared" si="8"/>
        <v>0.98750000000000004</v>
      </c>
    </row>
    <row r="155" spans="1:34" ht="31.5">
      <c r="A155" s="347" t="s">
        <v>23</v>
      </c>
      <c r="B155" s="337" t="s">
        <v>478</v>
      </c>
      <c r="C155" s="347" t="s">
        <v>287</v>
      </c>
      <c r="D155" s="347"/>
      <c r="E155" s="369"/>
      <c r="F155" s="369"/>
      <c r="G155" s="113"/>
      <c r="H155" s="113"/>
      <c r="I155" s="113"/>
      <c r="J155" s="113"/>
      <c r="K155" s="113"/>
      <c r="L155" s="113">
        <v>273668</v>
      </c>
      <c r="M155" s="113"/>
      <c r="N155" s="113"/>
      <c r="O155" s="113">
        <v>273668</v>
      </c>
      <c r="P155" s="113">
        <v>274412</v>
      </c>
      <c r="Q155" s="113"/>
      <c r="R155" s="113"/>
      <c r="S155" s="113">
        <v>274412</v>
      </c>
      <c r="T155" s="113">
        <v>3085.927643</v>
      </c>
      <c r="U155" s="113"/>
      <c r="V155" s="113"/>
      <c r="W155" s="113"/>
      <c r="X155" s="113">
        <v>3085.927643</v>
      </c>
      <c r="Y155" s="113">
        <v>64.917000000000002</v>
      </c>
      <c r="Z155" s="113"/>
      <c r="AA155" s="113"/>
      <c r="AB155" s="113"/>
      <c r="AC155" s="113">
        <v>64.917000000000002</v>
      </c>
      <c r="AD155" s="348">
        <f t="shared" si="9"/>
        <v>2.1036462130683858E-2</v>
      </c>
      <c r="AE155" s="348"/>
      <c r="AF155" s="348"/>
      <c r="AG155" s="348"/>
      <c r="AH155" s="348">
        <f t="shared" si="8"/>
        <v>2.1036462130683858E-2</v>
      </c>
    </row>
    <row r="156" spans="1:34">
      <c r="A156" s="347" t="s">
        <v>23</v>
      </c>
      <c r="B156" s="337" t="s">
        <v>479</v>
      </c>
      <c r="C156" s="347"/>
      <c r="D156" s="347"/>
      <c r="E156" s="369"/>
      <c r="F156" s="369"/>
      <c r="G156" s="113"/>
      <c r="H156" s="113"/>
      <c r="I156" s="113"/>
      <c r="J156" s="113"/>
      <c r="K156" s="113"/>
      <c r="L156" s="113"/>
      <c r="M156" s="113"/>
      <c r="N156" s="113"/>
      <c r="O156" s="113"/>
      <c r="P156" s="113"/>
      <c r="Q156" s="113"/>
      <c r="R156" s="113"/>
      <c r="S156" s="113"/>
      <c r="T156" s="113">
        <v>29.983000000000061</v>
      </c>
      <c r="U156" s="113"/>
      <c r="V156" s="113"/>
      <c r="W156" s="113"/>
      <c r="X156" s="113">
        <v>29.983000000000061</v>
      </c>
      <c r="Y156" s="113">
        <v>0</v>
      </c>
      <c r="Z156" s="113"/>
      <c r="AA156" s="113"/>
      <c r="AB156" s="113"/>
      <c r="AC156" s="113"/>
      <c r="AD156" s="348">
        <f t="shared" si="9"/>
        <v>0</v>
      </c>
      <c r="AE156" s="348"/>
      <c r="AF156" s="348"/>
      <c r="AG156" s="348"/>
      <c r="AH156" s="348">
        <f t="shared" si="8"/>
        <v>0</v>
      </c>
    </row>
    <row r="157" spans="1:34" ht="31.5">
      <c r="A157" s="347" t="s">
        <v>23</v>
      </c>
      <c r="B157" s="337" t="s">
        <v>480</v>
      </c>
      <c r="C157" s="347" t="s">
        <v>287</v>
      </c>
      <c r="D157" s="347"/>
      <c r="E157" s="369" t="s">
        <v>481</v>
      </c>
      <c r="F157" s="369" t="s">
        <v>482</v>
      </c>
      <c r="G157" s="113">
        <v>168802</v>
      </c>
      <c r="H157" s="113"/>
      <c r="I157" s="113"/>
      <c r="J157" s="113"/>
      <c r="K157" s="113"/>
      <c r="L157" s="113">
        <v>85066</v>
      </c>
      <c r="M157" s="113"/>
      <c r="N157" s="113"/>
      <c r="O157" s="113"/>
      <c r="P157" s="113">
        <v>90601</v>
      </c>
      <c r="Q157" s="113"/>
      <c r="R157" s="113">
        <v>86314</v>
      </c>
      <c r="S157" s="113"/>
      <c r="T157" s="113">
        <v>5605.8486999999996</v>
      </c>
      <c r="U157" s="113"/>
      <c r="V157" s="113"/>
      <c r="W157" s="113"/>
      <c r="X157" s="113">
        <v>5605.8486999999996</v>
      </c>
      <c r="Y157" s="113">
        <v>0.29670000000000002</v>
      </c>
      <c r="Z157" s="113"/>
      <c r="AA157" s="113"/>
      <c r="AB157" s="113"/>
      <c r="AC157" s="113">
        <v>0.29670000000000002</v>
      </c>
      <c r="AD157" s="348">
        <f t="shared" si="9"/>
        <v>5.2926865471770586E-5</v>
      </c>
      <c r="AE157" s="348"/>
      <c r="AF157" s="348"/>
      <c r="AG157" s="348"/>
      <c r="AH157" s="348">
        <f t="shared" si="8"/>
        <v>5.2926865471770586E-5</v>
      </c>
    </row>
    <row r="158" spans="1:34" ht="31.5">
      <c r="A158" s="347" t="s">
        <v>23</v>
      </c>
      <c r="B158" s="337" t="s">
        <v>483</v>
      </c>
      <c r="C158" s="347" t="s">
        <v>476</v>
      </c>
      <c r="D158" s="347"/>
      <c r="E158" s="369" t="s">
        <v>484</v>
      </c>
      <c r="F158" s="369" t="s">
        <v>485</v>
      </c>
      <c r="G158" s="113">
        <v>31576</v>
      </c>
      <c r="H158" s="113"/>
      <c r="I158" s="113"/>
      <c r="J158" s="113"/>
      <c r="K158" s="113"/>
      <c r="L158" s="113">
        <v>4655</v>
      </c>
      <c r="M158" s="113"/>
      <c r="N158" s="113"/>
      <c r="O158" s="113"/>
      <c r="P158" s="113">
        <v>4655</v>
      </c>
      <c r="Q158" s="113"/>
      <c r="R158" s="113"/>
      <c r="S158" s="113"/>
      <c r="T158" s="113">
        <v>37.977000000000004</v>
      </c>
      <c r="U158" s="113"/>
      <c r="V158" s="113"/>
      <c r="W158" s="113"/>
      <c r="X158" s="113">
        <v>37.977000000000004</v>
      </c>
      <c r="Y158" s="113">
        <v>37.977000000000004</v>
      </c>
      <c r="Z158" s="113"/>
      <c r="AA158" s="113"/>
      <c r="AB158" s="113"/>
      <c r="AC158" s="113">
        <v>37.977000000000004</v>
      </c>
      <c r="AD158" s="348">
        <f t="shared" si="9"/>
        <v>1</v>
      </c>
      <c r="AE158" s="348"/>
      <c r="AF158" s="348"/>
      <c r="AG158" s="348"/>
      <c r="AH158" s="348">
        <f t="shared" si="8"/>
        <v>1</v>
      </c>
    </row>
    <row r="159" spans="1:34" ht="31.5">
      <c r="A159" s="347" t="s">
        <v>23</v>
      </c>
      <c r="B159" s="337" t="s">
        <v>486</v>
      </c>
      <c r="C159" s="347" t="s">
        <v>476</v>
      </c>
      <c r="D159" s="347"/>
      <c r="E159" s="369" t="s">
        <v>484</v>
      </c>
      <c r="F159" s="369" t="s">
        <v>487</v>
      </c>
      <c r="G159" s="113">
        <v>21655</v>
      </c>
      <c r="H159" s="113"/>
      <c r="I159" s="113"/>
      <c r="J159" s="113"/>
      <c r="K159" s="113"/>
      <c r="L159" s="113">
        <v>2589</v>
      </c>
      <c r="M159" s="113"/>
      <c r="N159" s="113"/>
      <c r="O159" s="113"/>
      <c r="P159" s="113">
        <v>2589</v>
      </c>
      <c r="Q159" s="113"/>
      <c r="R159" s="113"/>
      <c r="S159" s="113">
        <v>2589</v>
      </c>
      <c r="T159" s="113">
        <v>89.081000000000003</v>
      </c>
      <c r="U159" s="113"/>
      <c r="V159" s="113"/>
      <c r="W159" s="113"/>
      <c r="X159" s="113">
        <v>89.081000000000003</v>
      </c>
      <c r="Y159" s="113">
        <v>87.277000000000001</v>
      </c>
      <c r="Z159" s="113"/>
      <c r="AA159" s="113"/>
      <c r="AB159" s="113"/>
      <c r="AC159" s="113">
        <v>87.277000000000001</v>
      </c>
      <c r="AD159" s="348">
        <f t="shared" si="9"/>
        <v>0.9797487679752136</v>
      </c>
      <c r="AE159" s="348"/>
      <c r="AF159" s="348"/>
      <c r="AG159" s="348"/>
      <c r="AH159" s="348">
        <f t="shared" si="8"/>
        <v>0.9797487679752136</v>
      </c>
    </row>
    <row r="160" spans="1:34" ht="47.25">
      <c r="A160" s="347" t="s">
        <v>23</v>
      </c>
      <c r="B160" s="337" t="s">
        <v>488</v>
      </c>
      <c r="C160" s="347" t="s">
        <v>287</v>
      </c>
      <c r="D160" s="347"/>
      <c r="E160" s="369" t="s">
        <v>489</v>
      </c>
      <c r="F160" s="369" t="s">
        <v>490</v>
      </c>
      <c r="G160" s="113">
        <v>199725</v>
      </c>
      <c r="H160" s="113"/>
      <c r="I160" s="113"/>
      <c r="J160" s="113"/>
      <c r="K160" s="113"/>
      <c r="L160" s="113">
        <v>71598</v>
      </c>
      <c r="M160" s="113"/>
      <c r="N160" s="113"/>
      <c r="O160" s="113"/>
      <c r="P160" s="113">
        <v>71500</v>
      </c>
      <c r="Q160" s="113"/>
      <c r="R160" s="113">
        <v>70000</v>
      </c>
      <c r="S160" s="113"/>
      <c r="T160" s="113">
        <v>13412.888000000001</v>
      </c>
      <c r="U160" s="113"/>
      <c r="V160" s="113">
        <v>11478.846</v>
      </c>
      <c r="W160" s="113"/>
      <c r="X160" s="113">
        <f>T160-V160</f>
        <v>1934.0420000000013</v>
      </c>
      <c r="Y160" s="113">
        <v>12298.532745</v>
      </c>
      <c r="Z160" s="113"/>
      <c r="AA160" s="113">
        <v>10798.532745</v>
      </c>
      <c r="AB160" s="113"/>
      <c r="AC160" s="113">
        <v>1500</v>
      </c>
      <c r="AD160" s="348">
        <f t="shared" si="9"/>
        <v>0.9169190665723892</v>
      </c>
      <c r="AE160" s="348"/>
      <c r="AF160" s="348">
        <f t="shared" si="10"/>
        <v>0.94073330585670378</v>
      </c>
      <c r="AG160" s="348"/>
      <c r="AH160" s="348">
        <f t="shared" si="8"/>
        <v>0.77557777959320373</v>
      </c>
    </row>
    <row r="161" spans="1:34" ht="47.25">
      <c r="A161" s="347" t="s">
        <v>23</v>
      </c>
      <c r="B161" s="337" t="s">
        <v>491</v>
      </c>
      <c r="C161" s="347" t="s">
        <v>287</v>
      </c>
      <c r="D161" s="347"/>
      <c r="E161" s="369" t="s">
        <v>248</v>
      </c>
      <c r="F161" s="369" t="s">
        <v>492</v>
      </c>
      <c r="G161" s="113">
        <v>12355</v>
      </c>
      <c r="H161" s="113"/>
      <c r="I161" s="113"/>
      <c r="J161" s="113"/>
      <c r="K161" s="113"/>
      <c r="L161" s="113">
        <v>10938</v>
      </c>
      <c r="M161" s="113"/>
      <c r="N161" s="113"/>
      <c r="O161" s="113"/>
      <c r="P161" s="113">
        <v>9728</v>
      </c>
      <c r="Q161" s="113"/>
      <c r="R161" s="113"/>
      <c r="S161" s="113"/>
      <c r="T161" s="113">
        <v>2000</v>
      </c>
      <c r="U161" s="113"/>
      <c r="V161" s="113"/>
      <c r="W161" s="113"/>
      <c r="X161" s="113">
        <v>2000</v>
      </c>
      <c r="Y161" s="113">
        <v>1910</v>
      </c>
      <c r="Z161" s="113"/>
      <c r="AA161" s="113"/>
      <c r="AB161" s="113"/>
      <c r="AC161" s="113">
        <v>1910</v>
      </c>
      <c r="AD161" s="348">
        <f t="shared" si="9"/>
        <v>0.95499999999999996</v>
      </c>
      <c r="AE161" s="348"/>
      <c r="AF161" s="348"/>
      <c r="AG161" s="348"/>
      <c r="AH161" s="348">
        <f t="shared" si="8"/>
        <v>0.95499999999999996</v>
      </c>
    </row>
    <row r="162" spans="1:34" ht="31.5">
      <c r="A162" s="347" t="s">
        <v>23</v>
      </c>
      <c r="B162" s="337" t="s">
        <v>493</v>
      </c>
      <c r="C162" s="347" t="s">
        <v>287</v>
      </c>
      <c r="D162" s="347"/>
      <c r="E162" s="369" t="s">
        <v>369</v>
      </c>
      <c r="F162" s="369" t="s">
        <v>494</v>
      </c>
      <c r="G162" s="113">
        <v>42986</v>
      </c>
      <c r="H162" s="113"/>
      <c r="I162" s="113"/>
      <c r="J162" s="113"/>
      <c r="K162" s="113"/>
      <c r="L162" s="113">
        <v>39439</v>
      </c>
      <c r="M162" s="113"/>
      <c r="N162" s="113"/>
      <c r="O162" s="113"/>
      <c r="P162" s="113">
        <v>39439</v>
      </c>
      <c r="Q162" s="113"/>
      <c r="R162" s="113">
        <v>39000</v>
      </c>
      <c r="S162" s="113"/>
      <c r="T162" s="113">
        <v>488.74200000000002</v>
      </c>
      <c r="U162" s="113"/>
      <c r="V162" s="113">
        <v>50</v>
      </c>
      <c r="W162" s="113"/>
      <c r="X162" s="113">
        <f>T162-V162</f>
        <v>438.74200000000002</v>
      </c>
      <c r="Y162" s="113">
        <v>488.74200000000002</v>
      </c>
      <c r="Z162" s="113"/>
      <c r="AA162" s="113">
        <v>50</v>
      </c>
      <c r="AB162" s="113"/>
      <c r="AC162" s="113">
        <v>438.74200000000002</v>
      </c>
      <c r="AD162" s="348">
        <f t="shared" si="9"/>
        <v>1</v>
      </c>
      <c r="AE162" s="348"/>
      <c r="AF162" s="348">
        <f t="shared" si="10"/>
        <v>1</v>
      </c>
      <c r="AG162" s="348"/>
      <c r="AH162" s="348">
        <f t="shared" si="8"/>
        <v>1</v>
      </c>
    </row>
    <row r="163" spans="1:34" ht="47.25">
      <c r="A163" s="347" t="s">
        <v>23</v>
      </c>
      <c r="B163" s="337" t="s">
        <v>495</v>
      </c>
      <c r="C163" s="347" t="s">
        <v>287</v>
      </c>
      <c r="D163" s="347"/>
      <c r="E163" s="369" t="s">
        <v>489</v>
      </c>
      <c r="F163" s="369" t="s">
        <v>496</v>
      </c>
      <c r="G163" s="113">
        <v>249991</v>
      </c>
      <c r="H163" s="113"/>
      <c r="I163" s="113">
        <v>150000</v>
      </c>
      <c r="J163" s="113"/>
      <c r="K163" s="113">
        <v>99991</v>
      </c>
      <c r="L163" s="113"/>
      <c r="M163" s="113"/>
      <c r="N163" s="113"/>
      <c r="O163" s="113"/>
      <c r="P163" s="113">
        <v>149991</v>
      </c>
      <c r="Q163" s="113"/>
      <c r="R163" s="113"/>
      <c r="S163" s="113"/>
      <c r="T163" s="113">
        <v>7.0449999999993906</v>
      </c>
      <c r="U163" s="113"/>
      <c r="V163" s="113"/>
      <c r="W163" s="113"/>
      <c r="X163" s="113">
        <v>7.0449999999993906</v>
      </c>
      <c r="Y163" s="113">
        <v>0</v>
      </c>
      <c r="Z163" s="113"/>
      <c r="AA163" s="113"/>
      <c r="AB163" s="113"/>
      <c r="AC163" s="113"/>
      <c r="AD163" s="348">
        <f t="shared" si="9"/>
        <v>0</v>
      </c>
      <c r="AE163" s="348"/>
      <c r="AF163" s="348"/>
      <c r="AG163" s="348"/>
      <c r="AH163" s="348">
        <f t="shared" si="8"/>
        <v>0</v>
      </c>
    </row>
    <row r="164" spans="1:34" ht="47.25">
      <c r="A164" s="347" t="s">
        <v>23</v>
      </c>
      <c r="B164" s="337" t="s">
        <v>497</v>
      </c>
      <c r="C164" s="347" t="s">
        <v>287</v>
      </c>
      <c r="D164" s="347"/>
      <c r="E164" s="369" t="s">
        <v>498</v>
      </c>
      <c r="F164" s="369" t="s">
        <v>499</v>
      </c>
      <c r="G164" s="113">
        <v>102996</v>
      </c>
      <c r="H164" s="113"/>
      <c r="I164" s="113">
        <v>80800</v>
      </c>
      <c r="J164" s="113"/>
      <c r="K164" s="113">
        <v>22196</v>
      </c>
      <c r="L164" s="113">
        <v>81886</v>
      </c>
      <c r="M164" s="113"/>
      <c r="N164" s="113"/>
      <c r="O164" s="113"/>
      <c r="P164" s="113">
        <v>80800</v>
      </c>
      <c r="Q164" s="113"/>
      <c r="R164" s="113"/>
      <c r="S164" s="113"/>
      <c r="T164" s="113">
        <v>72.593500000000006</v>
      </c>
      <c r="U164" s="113"/>
      <c r="V164" s="113"/>
      <c r="W164" s="113"/>
      <c r="X164" s="113">
        <v>72.593500000000006</v>
      </c>
      <c r="Y164" s="113"/>
      <c r="Z164" s="113"/>
      <c r="AA164" s="113"/>
      <c r="AB164" s="113"/>
      <c r="AC164" s="113"/>
      <c r="AD164" s="348">
        <f t="shared" si="9"/>
        <v>0</v>
      </c>
      <c r="AE164" s="348"/>
      <c r="AF164" s="348"/>
      <c r="AG164" s="348"/>
      <c r="AH164" s="348">
        <f t="shared" si="8"/>
        <v>0</v>
      </c>
    </row>
    <row r="165" spans="1:34">
      <c r="A165" s="347" t="s">
        <v>23</v>
      </c>
      <c r="B165" s="337" t="s">
        <v>500</v>
      </c>
      <c r="C165" s="347"/>
      <c r="D165" s="347"/>
      <c r="E165" s="369"/>
      <c r="F165" s="369"/>
      <c r="G165" s="113"/>
      <c r="H165" s="113"/>
      <c r="I165" s="113"/>
      <c r="J165" s="113"/>
      <c r="K165" s="113"/>
      <c r="L165" s="113"/>
      <c r="M165" s="113"/>
      <c r="N165" s="113"/>
      <c r="O165" s="113"/>
      <c r="P165" s="113"/>
      <c r="Q165" s="113"/>
      <c r="R165" s="113"/>
      <c r="S165" s="113"/>
      <c r="T165" s="113">
        <v>6902.6629999999996</v>
      </c>
      <c r="U165" s="113"/>
      <c r="V165" s="113"/>
      <c r="W165" s="113"/>
      <c r="X165" s="113">
        <v>6902.6629999999996</v>
      </c>
      <c r="Y165" s="113">
        <v>6902.6629999999996</v>
      </c>
      <c r="Z165" s="113"/>
      <c r="AA165" s="113"/>
      <c r="AB165" s="113"/>
      <c r="AC165" s="113">
        <v>6902.6629999999996</v>
      </c>
      <c r="AD165" s="348">
        <f t="shared" si="9"/>
        <v>1</v>
      </c>
      <c r="AE165" s="348"/>
      <c r="AF165" s="348"/>
      <c r="AG165" s="348"/>
      <c r="AH165" s="348">
        <f t="shared" si="8"/>
        <v>1</v>
      </c>
    </row>
    <row r="166" spans="1:34" ht="63">
      <c r="A166" s="347" t="s">
        <v>23</v>
      </c>
      <c r="B166" s="337" t="s">
        <v>501</v>
      </c>
      <c r="C166" s="347" t="s">
        <v>265</v>
      </c>
      <c r="D166" s="347"/>
      <c r="E166" s="369" t="s">
        <v>369</v>
      </c>
      <c r="F166" s="369" t="s">
        <v>502</v>
      </c>
      <c r="G166" s="113">
        <v>33723</v>
      </c>
      <c r="H166" s="113"/>
      <c r="I166" s="113"/>
      <c r="J166" s="113"/>
      <c r="K166" s="113"/>
      <c r="L166" s="113">
        <v>26782</v>
      </c>
      <c r="M166" s="113"/>
      <c r="N166" s="113"/>
      <c r="O166" s="113"/>
      <c r="P166" s="113">
        <v>26782</v>
      </c>
      <c r="Q166" s="113"/>
      <c r="R166" s="113"/>
      <c r="S166" s="113">
        <v>26782</v>
      </c>
      <c r="T166" s="113">
        <v>2000</v>
      </c>
      <c r="U166" s="113"/>
      <c r="V166" s="113"/>
      <c r="W166" s="113"/>
      <c r="X166" s="113">
        <v>2000</v>
      </c>
      <c r="Y166" s="113">
        <v>1898.566</v>
      </c>
      <c r="Z166" s="113"/>
      <c r="AA166" s="113"/>
      <c r="AB166" s="113"/>
      <c r="AC166" s="113">
        <v>1898.566</v>
      </c>
      <c r="AD166" s="348">
        <f t="shared" si="9"/>
        <v>0.94928299999999999</v>
      </c>
      <c r="AE166" s="348"/>
      <c r="AF166" s="348"/>
      <c r="AG166" s="348"/>
      <c r="AH166" s="348">
        <f t="shared" si="8"/>
        <v>0.94928299999999999</v>
      </c>
    </row>
    <row r="167" spans="1:34" ht="31.5">
      <c r="A167" s="347" t="s">
        <v>23</v>
      </c>
      <c r="B167" s="337" t="s">
        <v>503</v>
      </c>
      <c r="C167" s="347" t="s">
        <v>287</v>
      </c>
      <c r="D167" s="347"/>
      <c r="E167" s="369" t="s">
        <v>236</v>
      </c>
      <c r="F167" s="369" t="s">
        <v>504</v>
      </c>
      <c r="G167" s="113">
        <v>151075</v>
      </c>
      <c r="H167" s="113"/>
      <c r="I167" s="113">
        <v>120860</v>
      </c>
      <c r="J167" s="113"/>
      <c r="K167" s="113"/>
      <c r="L167" s="113">
        <v>107766</v>
      </c>
      <c r="M167" s="113"/>
      <c r="N167" s="113">
        <v>107766</v>
      </c>
      <c r="O167" s="113"/>
      <c r="P167" s="113">
        <v>121066</v>
      </c>
      <c r="Q167" s="113"/>
      <c r="R167" s="113">
        <v>121066</v>
      </c>
      <c r="S167" s="113"/>
      <c r="T167" s="113">
        <v>68556.328999999998</v>
      </c>
      <c r="U167" s="113"/>
      <c r="V167" s="113">
        <v>68556.328999999998</v>
      </c>
      <c r="W167" s="113"/>
      <c r="X167" s="113"/>
      <c r="Y167" s="113">
        <v>54856.466240000002</v>
      </c>
      <c r="Z167" s="113"/>
      <c r="AA167" s="113">
        <v>54856.466240000002</v>
      </c>
      <c r="AB167" s="113"/>
      <c r="AC167" s="113"/>
      <c r="AD167" s="348">
        <f t="shared" si="9"/>
        <v>0.8001663309597572</v>
      </c>
      <c r="AE167" s="348"/>
      <c r="AF167" s="348">
        <f t="shared" si="10"/>
        <v>0.8001663309597572</v>
      </c>
      <c r="AG167" s="348"/>
      <c r="AH167" s="348"/>
    </row>
    <row r="168" spans="1:34" ht="31.5">
      <c r="A168" s="347" t="s">
        <v>23</v>
      </c>
      <c r="B168" s="337" t="s">
        <v>505</v>
      </c>
      <c r="C168" s="347" t="s">
        <v>287</v>
      </c>
      <c r="D168" s="347"/>
      <c r="E168" s="369" t="s">
        <v>506</v>
      </c>
      <c r="F168" s="369" t="s">
        <v>507</v>
      </c>
      <c r="G168" s="113">
        <v>684475</v>
      </c>
      <c r="H168" s="113"/>
      <c r="I168" s="113">
        <v>547580</v>
      </c>
      <c r="J168" s="113">
        <v>136895</v>
      </c>
      <c r="K168" s="113"/>
      <c r="L168" s="113">
        <v>150461</v>
      </c>
      <c r="M168" s="113"/>
      <c r="N168" s="113">
        <v>150461</v>
      </c>
      <c r="O168" s="113"/>
      <c r="P168" s="113">
        <v>168284</v>
      </c>
      <c r="Q168" s="113"/>
      <c r="R168" s="113">
        <v>168284</v>
      </c>
      <c r="S168" s="113"/>
      <c r="T168" s="113">
        <v>75255.962893999997</v>
      </c>
      <c r="U168" s="113"/>
      <c r="V168" s="113">
        <v>75255.962893999997</v>
      </c>
      <c r="W168" s="113"/>
      <c r="X168" s="113"/>
      <c r="Y168" s="113">
        <v>41180.644672000002</v>
      </c>
      <c r="Z168" s="113"/>
      <c r="AA168" s="113">
        <v>41180.644672000002</v>
      </c>
      <c r="AB168" s="113"/>
      <c r="AC168" s="113"/>
      <c r="AD168" s="348">
        <f t="shared" si="9"/>
        <v>0.54720773063529893</v>
      </c>
      <c r="AE168" s="348"/>
      <c r="AF168" s="348">
        <f t="shared" si="10"/>
        <v>0.54720773063529893</v>
      </c>
      <c r="AG168" s="348"/>
      <c r="AH168" s="348"/>
    </row>
    <row r="169" spans="1:34" ht="63">
      <c r="A169" s="347" t="s">
        <v>23</v>
      </c>
      <c r="B169" s="337" t="s">
        <v>508</v>
      </c>
      <c r="C169" s="347" t="s">
        <v>287</v>
      </c>
      <c r="D169" s="347"/>
      <c r="E169" s="369">
        <v>2015</v>
      </c>
      <c r="F169" s="369" t="s">
        <v>509</v>
      </c>
      <c r="G169" s="113">
        <v>37317</v>
      </c>
      <c r="H169" s="113"/>
      <c r="I169" s="113"/>
      <c r="J169" s="113"/>
      <c r="K169" s="113">
        <v>37317</v>
      </c>
      <c r="L169" s="113">
        <v>37317</v>
      </c>
      <c r="M169" s="113"/>
      <c r="N169" s="113"/>
      <c r="O169" s="113">
        <v>37317</v>
      </c>
      <c r="P169" s="113">
        <v>36782</v>
      </c>
      <c r="Q169" s="113"/>
      <c r="R169" s="113"/>
      <c r="S169" s="113">
        <v>36782</v>
      </c>
      <c r="T169" s="113">
        <v>195.922</v>
      </c>
      <c r="U169" s="113"/>
      <c r="V169" s="113"/>
      <c r="W169" s="113"/>
      <c r="X169" s="113">
        <v>195.922</v>
      </c>
      <c r="Y169" s="113">
        <v>195.922</v>
      </c>
      <c r="Z169" s="113"/>
      <c r="AA169" s="113"/>
      <c r="AB169" s="113"/>
      <c r="AC169" s="113">
        <v>195.922</v>
      </c>
      <c r="AD169" s="348">
        <f t="shared" si="9"/>
        <v>1</v>
      </c>
      <c r="AE169" s="348"/>
      <c r="AF169" s="348"/>
      <c r="AG169" s="348"/>
      <c r="AH169" s="348">
        <f>AC169/X169</f>
        <v>1</v>
      </c>
    </row>
    <row r="170" spans="1:34" ht="47.25">
      <c r="A170" s="347" t="s">
        <v>23</v>
      </c>
      <c r="B170" s="337" t="s">
        <v>510</v>
      </c>
      <c r="C170" s="347" t="s">
        <v>213</v>
      </c>
      <c r="D170" s="347"/>
      <c r="E170" s="369">
        <v>2016</v>
      </c>
      <c r="F170" s="369" t="s">
        <v>511</v>
      </c>
      <c r="G170" s="113">
        <v>10120</v>
      </c>
      <c r="H170" s="113"/>
      <c r="I170" s="113"/>
      <c r="J170" s="113"/>
      <c r="K170" s="113">
        <v>10120</v>
      </c>
      <c r="L170" s="113">
        <v>9850</v>
      </c>
      <c r="M170" s="113"/>
      <c r="N170" s="113"/>
      <c r="O170" s="113">
        <v>9850</v>
      </c>
      <c r="P170" s="113">
        <v>2800</v>
      </c>
      <c r="Q170" s="113"/>
      <c r="R170" s="113"/>
      <c r="S170" s="113">
        <v>2800</v>
      </c>
      <c r="T170" s="113">
        <v>2800</v>
      </c>
      <c r="U170" s="113"/>
      <c r="V170" s="113"/>
      <c r="W170" s="113"/>
      <c r="X170" s="113">
        <v>2800</v>
      </c>
      <c r="Y170" s="113">
        <v>2800</v>
      </c>
      <c r="Z170" s="113"/>
      <c r="AA170" s="113"/>
      <c r="AB170" s="113"/>
      <c r="AC170" s="113">
        <v>2800</v>
      </c>
      <c r="AD170" s="348">
        <f t="shared" si="9"/>
        <v>1</v>
      </c>
      <c r="AE170" s="348"/>
      <c r="AF170" s="348"/>
      <c r="AG170" s="348"/>
      <c r="AH170" s="348">
        <f>AC170/X170</f>
        <v>1</v>
      </c>
    </row>
    <row r="171" spans="1:34" ht="78.75">
      <c r="A171" s="347" t="s">
        <v>23</v>
      </c>
      <c r="B171" s="337" t="s">
        <v>512</v>
      </c>
      <c r="C171" s="347" t="s">
        <v>287</v>
      </c>
      <c r="D171" s="347"/>
      <c r="E171" s="369">
        <v>2015</v>
      </c>
      <c r="F171" s="369" t="s">
        <v>513</v>
      </c>
      <c r="G171" s="113">
        <v>8619</v>
      </c>
      <c r="H171" s="113"/>
      <c r="I171" s="113"/>
      <c r="J171" s="113"/>
      <c r="K171" s="113">
        <v>8619</v>
      </c>
      <c r="L171" s="113">
        <v>7018</v>
      </c>
      <c r="M171" s="113"/>
      <c r="N171" s="113"/>
      <c r="O171" s="113">
        <v>7018</v>
      </c>
      <c r="P171" s="113">
        <v>7018</v>
      </c>
      <c r="Q171" s="113"/>
      <c r="R171" s="113"/>
      <c r="S171" s="113">
        <v>7018</v>
      </c>
      <c r="T171" s="113">
        <v>818.49099999999999</v>
      </c>
      <c r="U171" s="113"/>
      <c r="V171" s="113"/>
      <c r="W171" s="113"/>
      <c r="X171" s="113">
        <v>818.49099999999999</v>
      </c>
      <c r="Y171" s="113">
        <v>688.278728</v>
      </c>
      <c r="Z171" s="113"/>
      <c r="AA171" s="113"/>
      <c r="AB171" s="113"/>
      <c r="AC171" s="113">
        <v>688.278728</v>
      </c>
      <c r="AD171" s="348">
        <f t="shared" si="9"/>
        <v>0.84091178522427246</v>
      </c>
      <c r="AE171" s="348"/>
      <c r="AF171" s="348"/>
      <c r="AG171" s="348"/>
      <c r="AH171" s="348">
        <f>AC171/X171</f>
        <v>0.84091178522427246</v>
      </c>
    </row>
    <row r="172" spans="1:34" ht="31.5">
      <c r="A172" s="347" t="s">
        <v>23</v>
      </c>
      <c r="B172" s="337" t="s">
        <v>514</v>
      </c>
      <c r="C172" s="347" t="s">
        <v>287</v>
      </c>
      <c r="D172" s="347"/>
      <c r="E172" s="369" t="s">
        <v>378</v>
      </c>
      <c r="F172" s="369" t="s">
        <v>507</v>
      </c>
      <c r="G172" s="113">
        <v>17281</v>
      </c>
      <c r="H172" s="113"/>
      <c r="I172" s="113"/>
      <c r="J172" s="113"/>
      <c r="K172" s="113"/>
      <c r="L172" s="113">
        <v>13169</v>
      </c>
      <c r="M172" s="113"/>
      <c r="N172" s="113"/>
      <c r="O172" s="113">
        <v>13169</v>
      </c>
      <c r="P172" s="113">
        <v>13169</v>
      </c>
      <c r="Q172" s="113"/>
      <c r="R172" s="113"/>
      <c r="S172" s="113">
        <v>13169</v>
      </c>
      <c r="T172" s="113">
        <v>927.30240400000002</v>
      </c>
      <c r="U172" s="113"/>
      <c r="V172" s="113"/>
      <c r="W172" s="113"/>
      <c r="X172" s="113">
        <v>927.30240400000002</v>
      </c>
      <c r="Y172" s="113">
        <v>927.30240400000002</v>
      </c>
      <c r="Z172" s="113"/>
      <c r="AA172" s="113"/>
      <c r="AB172" s="113"/>
      <c r="AC172" s="113">
        <v>927.30240400000002</v>
      </c>
      <c r="AD172" s="348">
        <f t="shared" si="9"/>
        <v>1</v>
      </c>
      <c r="AE172" s="348"/>
      <c r="AF172" s="348"/>
      <c r="AG172" s="348"/>
      <c r="AH172" s="348">
        <f>AC172/X172</f>
        <v>1</v>
      </c>
    </row>
    <row r="173" spans="1:34" ht="31.5">
      <c r="A173" s="347" t="s">
        <v>23</v>
      </c>
      <c r="B173" s="337" t="s">
        <v>515</v>
      </c>
      <c r="C173" s="347" t="s">
        <v>427</v>
      </c>
      <c r="D173" s="347"/>
      <c r="E173" s="369" t="s">
        <v>281</v>
      </c>
      <c r="F173" s="369" t="s">
        <v>516</v>
      </c>
      <c r="G173" s="113">
        <v>34464</v>
      </c>
      <c r="H173" s="113"/>
      <c r="I173" s="113"/>
      <c r="J173" s="113"/>
      <c r="K173" s="113"/>
      <c r="L173" s="113">
        <v>21441</v>
      </c>
      <c r="M173" s="113"/>
      <c r="N173" s="113"/>
      <c r="O173" s="113">
        <v>21441</v>
      </c>
      <c r="P173" s="113">
        <v>22000</v>
      </c>
      <c r="Q173" s="113"/>
      <c r="R173" s="113"/>
      <c r="S173" s="113">
        <v>22000</v>
      </c>
      <c r="T173" s="113">
        <v>5302.9443899999997</v>
      </c>
      <c r="U173" s="113"/>
      <c r="V173" s="113"/>
      <c r="W173" s="113"/>
      <c r="X173" s="113">
        <v>5302.9443899999997</v>
      </c>
      <c r="Y173" s="113">
        <v>3703.8819659999999</v>
      </c>
      <c r="Z173" s="113"/>
      <c r="AA173" s="113"/>
      <c r="AB173" s="113"/>
      <c r="AC173" s="113">
        <v>3703.8819659999999</v>
      </c>
      <c r="AD173" s="348">
        <f t="shared" si="9"/>
        <v>0.6984576291210175</v>
      </c>
      <c r="AE173" s="348"/>
      <c r="AF173" s="348"/>
      <c r="AG173" s="348"/>
      <c r="AH173" s="348">
        <f>AC173/X173</f>
        <v>0.6984576291210175</v>
      </c>
    </row>
    <row r="174" spans="1:34" ht="47.25">
      <c r="A174" s="347" t="s">
        <v>23</v>
      </c>
      <c r="B174" s="337" t="s">
        <v>517</v>
      </c>
      <c r="C174" s="347" t="s">
        <v>287</v>
      </c>
      <c r="D174" s="347"/>
      <c r="E174" s="369">
        <v>2017</v>
      </c>
      <c r="F174" s="369" t="s">
        <v>518</v>
      </c>
      <c r="G174" s="113">
        <v>119993</v>
      </c>
      <c r="H174" s="113"/>
      <c r="I174" s="113"/>
      <c r="J174" s="113"/>
      <c r="K174" s="113"/>
      <c r="L174" s="113">
        <v>49166</v>
      </c>
      <c r="M174" s="113"/>
      <c r="N174" s="113">
        <v>49166</v>
      </c>
      <c r="O174" s="113"/>
      <c r="P174" s="113">
        <v>58734</v>
      </c>
      <c r="Q174" s="113"/>
      <c r="R174" s="113">
        <v>58334</v>
      </c>
      <c r="S174" s="113"/>
      <c r="T174" s="113">
        <v>57842</v>
      </c>
      <c r="U174" s="113"/>
      <c r="V174" s="113">
        <v>57842</v>
      </c>
      <c r="W174" s="113"/>
      <c r="X174" s="113"/>
      <c r="Y174" s="113">
        <v>48191.468400999998</v>
      </c>
      <c r="Z174" s="113"/>
      <c r="AA174" s="113">
        <v>48191.468400999998</v>
      </c>
      <c r="AB174" s="113"/>
      <c r="AC174" s="113"/>
      <c r="AD174" s="348">
        <f t="shared" si="9"/>
        <v>0.8331570208671899</v>
      </c>
      <c r="AE174" s="348"/>
      <c r="AF174" s="348">
        <f t="shared" si="10"/>
        <v>0.8331570208671899</v>
      </c>
      <c r="AG174" s="348"/>
      <c r="AH174" s="348"/>
    </row>
    <row r="175" spans="1:34" ht="47.25">
      <c r="A175" s="347" t="s">
        <v>23</v>
      </c>
      <c r="B175" s="337" t="s">
        <v>519</v>
      </c>
      <c r="C175" s="347" t="s">
        <v>287</v>
      </c>
      <c r="D175" s="347"/>
      <c r="E175" s="369" t="s">
        <v>218</v>
      </c>
      <c r="F175" s="369" t="s">
        <v>520</v>
      </c>
      <c r="G175" s="113">
        <v>80000</v>
      </c>
      <c r="H175" s="113"/>
      <c r="I175" s="113">
        <v>63689</v>
      </c>
      <c r="J175" s="113"/>
      <c r="K175" s="113">
        <v>16311</v>
      </c>
      <c r="L175" s="113">
        <v>21222</v>
      </c>
      <c r="M175" s="113"/>
      <c r="N175" s="113"/>
      <c r="O175" s="113"/>
      <c r="P175" s="113">
        <v>37260</v>
      </c>
      <c r="Q175" s="113"/>
      <c r="R175" s="113"/>
      <c r="S175" s="113"/>
      <c r="T175" s="113">
        <v>25735.794188</v>
      </c>
      <c r="U175" s="113"/>
      <c r="V175" s="113">
        <v>25735.794188</v>
      </c>
      <c r="W175" s="113"/>
      <c r="X175" s="113"/>
      <c r="Y175" s="113">
        <v>7535.2130930000003</v>
      </c>
      <c r="Z175" s="113"/>
      <c r="AA175" s="113">
        <v>7535.2130930000003</v>
      </c>
      <c r="AB175" s="113"/>
      <c r="AC175" s="113"/>
      <c r="AD175" s="348">
        <f t="shared" si="9"/>
        <v>0.29279116229929653</v>
      </c>
      <c r="AE175" s="348"/>
      <c r="AF175" s="348">
        <f t="shared" si="10"/>
        <v>0.29279116229929653</v>
      </c>
      <c r="AG175" s="348"/>
      <c r="AH175" s="348"/>
    </row>
    <row r="176" spans="1:34" ht="31.5">
      <c r="A176" s="347" t="s">
        <v>23</v>
      </c>
      <c r="B176" s="337" t="s">
        <v>521</v>
      </c>
      <c r="C176" s="347"/>
      <c r="D176" s="347"/>
      <c r="E176" s="369"/>
      <c r="F176" s="369"/>
      <c r="G176" s="113"/>
      <c r="H176" s="113"/>
      <c r="I176" s="113"/>
      <c r="J176" s="113"/>
      <c r="K176" s="113"/>
      <c r="L176" s="113"/>
      <c r="M176" s="113"/>
      <c r="N176" s="113"/>
      <c r="O176" s="113"/>
      <c r="P176" s="113"/>
      <c r="Q176" s="113"/>
      <c r="R176" s="113"/>
      <c r="S176" s="113"/>
      <c r="T176" s="113">
        <v>2.3400000000517451E-4</v>
      </c>
      <c r="U176" s="113"/>
      <c r="V176" s="113"/>
      <c r="W176" s="113"/>
      <c r="X176" s="113">
        <v>2.3400000000517451E-4</v>
      </c>
      <c r="Y176" s="113">
        <v>0</v>
      </c>
      <c r="Z176" s="113"/>
      <c r="AA176" s="113"/>
      <c r="AB176" s="113"/>
      <c r="AC176" s="113"/>
      <c r="AD176" s="348">
        <f t="shared" si="9"/>
        <v>0</v>
      </c>
      <c r="AE176" s="348"/>
      <c r="AF176" s="348"/>
      <c r="AG176" s="348"/>
      <c r="AH176" s="348">
        <f>AC176/X176</f>
        <v>0</v>
      </c>
    </row>
    <row r="177" spans="1:34" ht="31.5">
      <c r="A177" s="347" t="s">
        <v>23</v>
      </c>
      <c r="B177" s="337" t="s">
        <v>522</v>
      </c>
      <c r="C177" s="347" t="s">
        <v>287</v>
      </c>
      <c r="D177" s="347"/>
      <c r="E177" s="369">
        <v>2016</v>
      </c>
      <c r="F177" s="369" t="s">
        <v>520</v>
      </c>
      <c r="G177" s="113">
        <v>199480</v>
      </c>
      <c r="H177" s="113"/>
      <c r="I177" s="113"/>
      <c r="J177" s="113"/>
      <c r="K177" s="113"/>
      <c r="L177" s="113">
        <v>3380</v>
      </c>
      <c r="M177" s="113"/>
      <c r="N177" s="113"/>
      <c r="O177" s="113"/>
      <c r="P177" s="113">
        <v>50190</v>
      </c>
      <c r="Q177" s="113"/>
      <c r="R177" s="113">
        <v>50000</v>
      </c>
      <c r="S177" s="113"/>
      <c r="T177" s="113">
        <v>50000</v>
      </c>
      <c r="U177" s="113"/>
      <c r="V177" s="113">
        <v>50000</v>
      </c>
      <c r="W177" s="113"/>
      <c r="X177" s="113"/>
      <c r="Y177" s="113">
        <v>1930</v>
      </c>
      <c r="Z177" s="113"/>
      <c r="AA177" s="113">
        <v>1930</v>
      </c>
      <c r="AB177" s="113"/>
      <c r="AC177" s="113"/>
      <c r="AD177" s="348">
        <f t="shared" si="9"/>
        <v>3.8600000000000002E-2</v>
      </c>
      <c r="AE177" s="348"/>
      <c r="AF177" s="348">
        <f t="shared" si="10"/>
        <v>3.8600000000000002E-2</v>
      </c>
      <c r="AG177" s="348"/>
      <c r="AH177" s="348"/>
    </row>
    <row r="178" spans="1:34">
      <c r="A178" s="347" t="s">
        <v>23</v>
      </c>
      <c r="B178" s="337" t="s">
        <v>523</v>
      </c>
      <c r="C178" s="347"/>
      <c r="D178" s="347"/>
      <c r="E178" s="369"/>
      <c r="F178" s="369"/>
      <c r="G178" s="113"/>
      <c r="H178" s="113"/>
      <c r="I178" s="113"/>
      <c r="J178" s="113"/>
      <c r="K178" s="113"/>
      <c r="L178" s="113"/>
      <c r="M178" s="113"/>
      <c r="N178" s="113"/>
      <c r="O178" s="113"/>
      <c r="P178" s="113"/>
      <c r="Q178" s="113"/>
      <c r="R178" s="113"/>
      <c r="S178" s="113"/>
      <c r="T178" s="113">
        <v>185</v>
      </c>
      <c r="U178" s="113"/>
      <c r="V178" s="113"/>
      <c r="W178" s="113"/>
      <c r="X178" s="113">
        <v>185</v>
      </c>
      <c r="Y178" s="113">
        <v>0</v>
      </c>
      <c r="Z178" s="113"/>
      <c r="AA178" s="113"/>
      <c r="AB178" s="113"/>
      <c r="AC178" s="113"/>
      <c r="AD178" s="348">
        <f t="shared" si="9"/>
        <v>0</v>
      </c>
      <c r="AE178" s="348"/>
      <c r="AF178" s="348"/>
      <c r="AG178" s="348"/>
      <c r="AH178" s="348">
        <f t="shared" ref="AH178:AH194" si="11">AC178/X178</f>
        <v>0</v>
      </c>
    </row>
    <row r="179" spans="1:34" ht="31.5">
      <c r="A179" s="347" t="s">
        <v>23</v>
      </c>
      <c r="B179" s="337" t="s">
        <v>524</v>
      </c>
      <c r="C179" s="347" t="s">
        <v>287</v>
      </c>
      <c r="D179" s="347"/>
      <c r="E179" s="369" t="s">
        <v>506</v>
      </c>
      <c r="F179" s="369" t="s">
        <v>525</v>
      </c>
      <c r="G179" s="113">
        <v>955372</v>
      </c>
      <c r="H179" s="113"/>
      <c r="I179" s="113"/>
      <c r="J179" s="113"/>
      <c r="K179" s="113"/>
      <c r="L179" s="113">
        <v>12864</v>
      </c>
      <c r="M179" s="113">
        <v>3354</v>
      </c>
      <c r="N179" s="113"/>
      <c r="O179" s="113">
        <v>9510</v>
      </c>
      <c r="P179" s="113">
        <v>12558</v>
      </c>
      <c r="Q179" s="113">
        <v>3361</v>
      </c>
      <c r="R179" s="113"/>
      <c r="S179" s="113">
        <v>9204</v>
      </c>
      <c r="T179" s="113">
        <v>17423.879830000002</v>
      </c>
      <c r="U179" s="113">
        <f>T179-X179</f>
        <v>13335.358330000003</v>
      </c>
      <c r="V179" s="113"/>
      <c r="W179" s="113"/>
      <c r="X179" s="113">
        <v>4088.5214999999989</v>
      </c>
      <c r="Y179" s="113">
        <f>Z179+AC179</f>
        <v>6854.5368040000003</v>
      </c>
      <c r="Z179" s="113">
        <v>3119.6393040000003</v>
      </c>
      <c r="AA179" s="113"/>
      <c r="AB179" s="113"/>
      <c r="AC179" s="113">
        <v>3734.8975</v>
      </c>
      <c r="AD179" s="348">
        <f t="shared" si="9"/>
        <v>0.39339899441902887</v>
      </c>
      <c r="AE179" s="348">
        <f t="shared" si="9"/>
        <v>0.23393741861303247</v>
      </c>
      <c r="AF179" s="348"/>
      <c r="AG179" s="348"/>
      <c r="AH179" s="348">
        <f t="shared" si="11"/>
        <v>0.91350809822083634</v>
      </c>
    </row>
    <row r="180" spans="1:34" ht="47.25">
      <c r="A180" s="347" t="s">
        <v>23</v>
      </c>
      <c r="B180" s="337" t="s">
        <v>526</v>
      </c>
      <c r="C180" s="347" t="s">
        <v>476</v>
      </c>
      <c r="D180" s="347"/>
      <c r="E180" s="369" t="s">
        <v>281</v>
      </c>
      <c r="F180" s="369" t="s">
        <v>527</v>
      </c>
      <c r="G180" s="113">
        <v>78968</v>
      </c>
      <c r="H180" s="113"/>
      <c r="I180" s="113"/>
      <c r="J180" s="113"/>
      <c r="K180" s="113"/>
      <c r="L180" s="113">
        <v>29785</v>
      </c>
      <c r="M180" s="113"/>
      <c r="N180" s="113"/>
      <c r="O180" s="113">
        <v>29785</v>
      </c>
      <c r="P180" s="113">
        <v>40000</v>
      </c>
      <c r="Q180" s="113"/>
      <c r="R180" s="113"/>
      <c r="S180" s="113">
        <v>40000</v>
      </c>
      <c r="T180" s="113">
        <v>28785.196526</v>
      </c>
      <c r="U180" s="113"/>
      <c r="V180" s="113"/>
      <c r="W180" s="113"/>
      <c r="X180" s="113">
        <v>28785.196526</v>
      </c>
      <c r="Y180" s="113">
        <v>17084.722806999998</v>
      </c>
      <c r="Z180" s="113"/>
      <c r="AA180" s="113"/>
      <c r="AB180" s="113"/>
      <c r="AC180" s="113">
        <v>17084.722806999998</v>
      </c>
      <c r="AD180" s="348">
        <f t="shared" si="9"/>
        <v>0.59352461921072375</v>
      </c>
      <c r="AE180" s="348"/>
      <c r="AF180" s="348"/>
      <c r="AG180" s="348"/>
      <c r="AH180" s="348">
        <f t="shared" si="11"/>
        <v>0.59352461921072375</v>
      </c>
    </row>
    <row r="181" spans="1:34" ht="31.5">
      <c r="A181" s="347" t="s">
        <v>23</v>
      </c>
      <c r="B181" s="337" t="s">
        <v>528</v>
      </c>
      <c r="C181" s="347" t="s">
        <v>476</v>
      </c>
      <c r="D181" s="347"/>
      <c r="E181" s="369" t="s">
        <v>214</v>
      </c>
      <c r="F181" s="369" t="s">
        <v>529</v>
      </c>
      <c r="G181" s="113">
        <v>46090</v>
      </c>
      <c r="H181" s="113"/>
      <c r="I181" s="113"/>
      <c r="J181" s="113"/>
      <c r="K181" s="113"/>
      <c r="L181" s="113">
        <v>9228</v>
      </c>
      <c r="M181" s="113"/>
      <c r="N181" s="113"/>
      <c r="O181" s="113">
        <v>9228</v>
      </c>
      <c r="P181" s="113">
        <v>15000</v>
      </c>
      <c r="Q181" s="113"/>
      <c r="R181" s="113"/>
      <c r="S181" s="113">
        <v>15000</v>
      </c>
      <c r="T181" s="113">
        <v>15000</v>
      </c>
      <c r="U181" s="113"/>
      <c r="V181" s="113"/>
      <c r="W181" s="113"/>
      <c r="X181" s="113">
        <v>15000</v>
      </c>
      <c r="Y181" s="113">
        <v>8911.4126419999993</v>
      </c>
      <c r="Z181" s="113"/>
      <c r="AA181" s="113"/>
      <c r="AB181" s="113"/>
      <c r="AC181" s="113">
        <v>8911.4126419999993</v>
      </c>
      <c r="AD181" s="348">
        <f t="shared" si="9"/>
        <v>0.59409417613333326</v>
      </c>
      <c r="AE181" s="348"/>
      <c r="AF181" s="348"/>
      <c r="AG181" s="348"/>
      <c r="AH181" s="348">
        <f t="shared" si="11"/>
        <v>0.59409417613333326</v>
      </c>
    </row>
    <row r="182" spans="1:34" ht="63">
      <c r="A182" s="347" t="s">
        <v>23</v>
      </c>
      <c r="B182" s="337" t="s">
        <v>530</v>
      </c>
      <c r="C182" s="347" t="s">
        <v>287</v>
      </c>
      <c r="D182" s="347"/>
      <c r="E182" s="369">
        <v>2017</v>
      </c>
      <c r="F182" s="369" t="s">
        <v>531</v>
      </c>
      <c r="G182" s="113">
        <v>10000</v>
      </c>
      <c r="H182" s="113"/>
      <c r="I182" s="113"/>
      <c r="J182" s="113"/>
      <c r="K182" s="113"/>
      <c r="L182" s="113">
        <v>5034</v>
      </c>
      <c r="M182" s="113"/>
      <c r="N182" s="113"/>
      <c r="O182" s="113"/>
      <c r="P182" s="113">
        <v>3900</v>
      </c>
      <c r="Q182" s="113"/>
      <c r="R182" s="113"/>
      <c r="S182" s="113">
        <v>3900</v>
      </c>
      <c r="T182" s="113">
        <v>3900</v>
      </c>
      <c r="U182" s="113"/>
      <c r="V182" s="113"/>
      <c r="W182" s="113"/>
      <c r="X182" s="113">
        <v>3900</v>
      </c>
      <c r="Y182" s="113">
        <v>3800</v>
      </c>
      <c r="Z182" s="113"/>
      <c r="AA182" s="113"/>
      <c r="AB182" s="113"/>
      <c r="AC182" s="113">
        <v>3800</v>
      </c>
      <c r="AD182" s="348">
        <f t="shared" si="9"/>
        <v>0.97435897435897434</v>
      </c>
      <c r="AE182" s="348"/>
      <c r="AF182" s="348"/>
      <c r="AG182" s="348"/>
      <c r="AH182" s="348">
        <f t="shared" si="11"/>
        <v>0.97435897435897434</v>
      </c>
    </row>
    <row r="183" spans="1:34" ht="31.5">
      <c r="A183" s="347" t="s">
        <v>23</v>
      </c>
      <c r="B183" s="337" t="s">
        <v>532</v>
      </c>
      <c r="C183" s="347" t="s">
        <v>427</v>
      </c>
      <c r="D183" s="347"/>
      <c r="E183" s="369" t="s">
        <v>214</v>
      </c>
      <c r="F183" s="369" t="s">
        <v>533</v>
      </c>
      <c r="G183" s="113">
        <v>98035</v>
      </c>
      <c r="H183" s="113"/>
      <c r="I183" s="113"/>
      <c r="J183" s="113"/>
      <c r="K183" s="113"/>
      <c r="L183" s="113">
        <v>21832</v>
      </c>
      <c r="M183" s="113"/>
      <c r="N183" s="113"/>
      <c r="O183" s="113">
        <v>21832</v>
      </c>
      <c r="P183" s="113">
        <v>25000</v>
      </c>
      <c r="Q183" s="113"/>
      <c r="R183" s="113"/>
      <c r="S183" s="113">
        <v>25000</v>
      </c>
      <c r="T183" s="113">
        <v>25000</v>
      </c>
      <c r="U183" s="113"/>
      <c r="V183" s="113"/>
      <c r="W183" s="113"/>
      <c r="X183" s="113">
        <v>25000</v>
      </c>
      <c r="Y183" s="113">
        <v>21832.045416000001</v>
      </c>
      <c r="Z183" s="113"/>
      <c r="AA183" s="113"/>
      <c r="AB183" s="113"/>
      <c r="AC183" s="113">
        <v>21832.045416000001</v>
      </c>
      <c r="AD183" s="348">
        <f t="shared" si="9"/>
        <v>0.87328181664000004</v>
      </c>
      <c r="AE183" s="348"/>
      <c r="AF183" s="348"/>
      <c r="AG183" s="348"/>
      <c r="AH183" s="348">
        <f t="shared" si="11"/>
        <v>0.87328181664000004</v>
      </c>
    </row>
    <row r="184" spans="1:34" ht="31.5">
      <c r="A184" s="347" t="s">
        <v>23</v>
      </c>
      <c r="B184" s="337" t="s">
        <v>534</v>
      </c>
      <c r="C184" s="347" t="s">
        <v>427</v>
      </c>
      <c r="D184" s="347"/>
      <c r="E184" s="369" t="s">
        <v>214</v>
      </c>
      <c r="F184" s="369" t="s">
        <v>535</v>
      </c>
      <c r="G184" s="113">
        <v>134152</v>
      </c>
      <c r="H184" s="113"/>
      <c r="I184" s="113"/>
      <c r="J184" s="113"/>
      <c r="K184" s="113"/>
      <c r="L184" s="113">
        <v>22631</v>
      </c>
      <c r="M184" s="113"/>
      <c r="N184" s="113"/>
      <c r="O184" s="113">
        <v>22631</v>
      </c>
      <c r="P184" s="113">
        <v>30600</v>
      </c>
      <c r="Q184" s="113"/>
      <c r="R184" s="113"/>
      <c r="S184" s="113">
        <v>30600</v>
      </c>
      <c r="T184" s="113">
        <v>30600</v>
      </c>
      <c r="U184" s="113"/>
      <c r="V184" s="113"/>
      <c r="W184" s="113"/>
      <c r="X184" s="113">
        <v>30600</v>
      </c>
      <c r="Y184" s="113">
        <v>22631.425472999999</v>
      </c>
      <c r="Z184" s="113"/>
      <c r="AA184" s="113"/>
      <c r="AB184" s="113"/>
      <c r="AC184" s="113">
        <v>22631.425472999999</v>
      </c>
      <c r="AD184" s="348">
        <f t="shared" si="9"/>
        <v>0.73958906774509803</v>
      </c>
      <c r="AE184" s="348"/>
      <c r="AF184" s="348"/>
      <c r="AG184" s="348"/>
      <c r="AH184" s="348">
        <f t="shared" si="11"/>
        <v>0.73958906774509803</v>
      </c>
    </row>
    <row r="185" spans="1:34" ht="31.5">
      <c r="A185" s="347" t="s">
        <v>23</v>
      </c>
      <c r="B185" s="337" t="s">
        <v>536</v>
      </c>
      <c r="C185" s="347" t="s">
        <v>427</v>
      </c>
      <c r="D185" s="347"/>
      <c r="E185" s="369" t="s">
        <v>214</v>
      </c>
      <c r="F185" s="369" t="s">
        <v>537</v>
      </c>
      <c r="G185" s="113">
        <v>65988</v>
      </c>
      <c r="H185" s="113"/>
      <c r="I185" s="113"/>
      <c r="J185" s="113"/>
      <c r="K185" s="113"/>
      <c r="L185" s="113">
        <v>21655</v>
      </c>
      <c r="M185" s="113"/>
      <c r="N185" s="113"/>
      <c r="O185" s="113">
        <v>21655</v>
      </c>
      <c r="P185" s="113">
        <v>25000</v>
      </c>
      <c r="Q185" s="113"/>
      <c r="R185" s="113"/>
      <c r="S185" s="113">
        <v>25000</v>
      </c>
      <c r="T185" s="113">
        <v>25000</v>
      </c>
      <c r="U185" s="113"/>
      <c r="V185" s="113"/>
      <c r="W185" s="113"/>
      <c r="X185" s="113">
        <v>25000</v>
      </c>
      <c r="Y185" s="113">
        <v>21655.389789000001</v>
      </c>
      <c r="Z185" s="113"/>
      <c r="AA185" s="113"/>
      <c r="AB185" s="113"/>
      <c r="AC185" s="113">
        <v>21655.389789000001</v>
      </c>
      <c r="AD185" s="348">
        <f t="shared" si="9"/>
        <v>0.86621559156000005</v>
      </c>
      <c r="AE185" s="348"/>
      <c r="AF185" s="348"/>
      <c r="AG185" s="348"/>
      <c r="AH185" s="348">
        <f t="shared" si="11"/>
        <v>0.86621559156000005</v>
      </c>
    </row>
    <row r="186" spans="1:34" ht="31.5">
      <c r="A186" s="347" t="s">
        <v>23</v>
      </c>
      <c r="B186" s="337" t="s">
        <v>538</v>
      </c>
      <c r="C186" s="347" t="s">
        <v>427</v>
      </c>
      <c r="D186" s="347"/>
      <c r="E186" s="369" t="s">
        <v>214</v>
      </c>
      <c r="F186" s="369" t="s">
        <v>539</v>
      </c>
      <c r="G186" s="113">
        <v>164335</v>
      </c>
      <c r="H186" s="113"/>
      <c r="I186" s="113"/>
      <c r="J186" s="113"/>
      <c r="K186" s="113"/>
      <c r="L186" s="113"/>
      <c r="M186" s="113"/>
      <c r="N186" s="113"/>
      <c r="O186" s="113"/>
      <c r="P186" s="113"/>
      <c r="Q186" s="113"/>
      <c r="R186" s="113"/>
      <c r="S186" s="113"/>
      <c r="T186" s="113">
        <v>11400</v>
      </c>
      <c r="U186" s="113"/>
      <c r="V186" s="113"/>
      <c r="W186" s="113"/>
      <c r="X186" s="113">
        <v>11400</v>
      </c>
      <c r="Y186" s="113">
        <v>0</v>
      </c>
      <c r="Z186" s="113"/>
      <c r="AA186" s="113"/>
      <c r="AB186" s="113"/>
      <c r="AC186" s="113"/>
      <c r="AD186" s="348">
        <f t="shared" si="9"/>
        <v>0</v>
      </c>
      <c r="AE186" s="348"/>
      <c r="AF186" s="348"/>
      <c r="AG186" s="348"/>
      <c r="AH186" s="348">
        <f t="shared" si="11"/>
        <v>0</v>
      </c>
    </row>
    <row r="187" spans="1:34" ht="31.5">
      <c r="A187" s="347" t="s">
        <v>23</v>
      </c>
      <c r="B187" s="337" t="s">
        <v>540</v>
      </c>
      <c r="C187" s="347" t="s">
        <v>476</v>
      </c>
      <c r="D187" s="347"/>
      <c r="E187" s="369" t="s">
        <v>214</v>
      </c>
      <c r="F187" s="369" t="s">
        <v>541</v>
      </c>
      <c r="G187" s="113">
        <v>34562</v>
      </c>
      <c r="H187" s="113"/>
      <c r="I187" s="113"/>
      <c r="J187" s="113"/>
      <c r="K187" s="113"/>
      <c r="L187" s="113"/>
      <c r="M187" s="113"/>
      <c r="N187" s="113"/>
      <c r="O187" s="113"/>
      <c r="P187" s="113"/>
      <c r="Q187" s="113"/>
      <c r="R187" s="113"/>
      <c r="S187" s="113"/>
      <c r="T187" s="113">
        <v>10000</v>
      </c>
      <c r="U187" s="113"/>
      <c r="V187" s="113"/>
      <c r="W187" s="113"/>
      <c r="X187" s="113">
        <v>10000</v>
      </c>
      <c r="Y187" s="113">
        <v>0</v>
      </c>
      <c r="Z187" s="113"/>
      <c r="AA187" s="113"/>
      <c r="AB187" s="113"/>
      <c r="AC187" s="113"/>
      <c r="AD187" s="348">
        <f t="shared" si="9"/>
        <v>0</v>
      </c>
      <c r="AE187" s="348"/>
      <c r="AF187" s="348"/>
      <c r="AG187" s="348"/>
      <c r="AH187" s="348">
        <f t="shared" si="11"/>
        <v>0</v>
      </c>
    </row>
    <row r="188" spans="1:34" ht="47.25">
      <c r="A188" s="347" t="s">
        <v>23</v>
      </c>
      <c r="B188" s="337" t="s">
        <v>542</v>
      </c>
      <c r="C188" s="347" t="s">
        <v>287</v>
      </c>
      <c r="D188" s="347"/>
      <c r="E188" s="369" t="s">
        <v>262</v>
      </c>
      <c r="F188" s="369" t="s">
        <v>543</v>
      </c>
      <c r="G188" s="113">
        <v>1858000</v>
      </c>
      <c r="H188" s="113"/>
      <c r="I188" s="113"/>
      <c r="J188" s="113"/>
      <c r="K188" s="113"/>
      <c r="L188" s="113"/>
      <c r="M188" s="113"/>
      <c r="N188" s="113"/>
      <c r="O188" s="113"/>
      <c r="P188" s="113"/>
      <c r="Q188" s="113"/>
      <c r="R188" s="113"/>
      <c r="S188" s="113"/>
      <c r="T188" s="113">
        <v>1500</v>
      </c>
      <c r="U188" s="113"/>
      <c r="V188" s="113"/>
      <c r="W188" s="113"/>
      <c r="X188" s="113">
        <v>1500</v>
      </c>
      <c r="Y188" s="113">
        <v>0</v>
      </c>
      <c r="Z188" s="113"/>
      <c r="AA188" s="113"/>
      <c r="AB188" s="113"/>
      <c r="AC188" s="113"/>
      <c r="AD188" s="348">
        <f t="shared" si="9"/>
        <v>0</v>
      </c>
      <c r="AE188" s="348"/>
      <c r="AF188" s="348"/>
      <c r="AG188" s="348"/>
      <c r="AH188" s="348">
        <f t="shared" si="11"/>
        <v>0</v>
      </c>
    </row>
    <row r="189" spans="1:34" ht="31.5">
      <c r="A189" s="347" t="s">
        <v>23</v>
      </c>
      <c r="B189" s="337" t="s">
        <v>544</v>
      </c>
      <c r="C189" s="347" t="s">
        <v>287</v>
      </c>
      <c r="D189" s="347"/>
      <c r="E189" s="369" t="s">
        <v>481</v>
      </c>
      <c r="F189" s="369" t="s">
        <v>545</v>
      </c>
      <c r="G189" s="113">
        <v>41974</v>
      </c>
      <c r="H189" s="113"/>
      <c r="I189" s="113"/>
      <c r="J189" s="113"/>
      <c r="K189" s="113"/>
      <c r="L189" s="113">
        <v>11368</v>
      </c>
      <c r="M189" s="113"/>
      <c r="N189" s="113"/>
      <c r="O189" s="113"/>
      <c r="P189" s="113">
        <v>12129</v>
      </c>
      <c r="Q189" s="113"/>
      <c r="R189" s="113"/>
      <c r="S189" s="113"/>
      <c r="T189" s="113">
        <v>1129.4730000000004</v>
      </c>
      <c r="U189" s="113"/>
      <c r="V189" s="113"/>
      <c r="W189" s="113"/>
      <c r="X189" s="113">
        <v>1129.4730000000004</v>
      </c>
      <c r="Y189" s="113">
        <v>0</v>
      </c>
      <c r="Z189" s="113"/>
      <c r="AA189" s="113"/>
      <c r="AB189" s="113"/>
      <c r="AC189" s="113"/>
      <c r="AD189" s="348">
        <f t="shared" si="9"/>
        <v>0</v>
      </c>
      <c r="AE189" s="348"/>
      <c r="AF189" s="348"/>
      <c r="AG189" s="348"/>
      <c r="AH189" s="348">
        <f t="shared" si="11"/>
        <v>0</v>
      </c>
    </row>
    <row r="190" spans="1:34" ht="31.5">
      <c r="A190" s="347" t="s">
        <v>23</v>
      </c>
      <c r="B190" s="337" t="s">
        <v>546</v>
      </c>
      <c r="C190" s="347" t="s">
        <v>287</v>
      </c>
      <c r="D190" s="347"/>
      <c r="E190" s="369" t="s">
        <v>547</v>
      </c>
      <c r="F190" s="369" t="s">
        <v>548</v>
      </c>
      <c r="G190" s="113">
        <v>20927</v>
      </c>
      <c r="H190" s="113"/>
      <c r="I190" s="113"/>
      <c r="J190" s="113"/>
      <c r="K190" s="113"/>
      <c r="L190" s="113">
        <v>2763</v>
      </c>
      <c r="M190" s="113"/>
      <c r="N190" s="113"/>
      <c r="O190" s="113"/>
      <c r="P190" s="113">
        <v>2790</v>
      </c>
      <c r="Q190" s="113"/>
      <c r="R190" s="113"/>
      <c r="S190" s="113"/>
      <c r="T190" s="113">
        <v>1511.5219999999999</v>
      </c>
      <c r="U190" s="113"/>
      <c r="V190" s="113"/>
      <c r="W190" s="113"/>
      <c r="X190" s="113">
        <v>1511.5219999999999</v>
      </c>
      <c r="Y190" s="113">
        <v>0</v>
      </c>
      <c r="Z190" s="113"/>
      <c r="AA190" s="113"/>
      <c r="AB190" s="113"/>
      <c r="AC190" s="113"/>
      <c r="AD190" s="348">
        <f t="shared" si="9"/>
        <v>0</v>
      </c>
      <c r="AE190" s="348"/>
      <c r="AF190" s="348"/>
      <c r="AG190" s="348"/>
      <c r="AH190" s="348">
        <f t="shared" si="11"/>
        <v>0</v>
      </c>
    </row>
    <row r="191" spans="1:34" ht="31.5">
      <c r="A191" s="347" t="s">
        <v>23</v>
      </c>
      <c r="B191" s="337" t="s">
        <v>549</v>
      </c>
      <c r="C191" s="347" t="s">
        <v>287</v>
      </c>
      <c r="D191" s="347"/>
      <c r="E191" s="369" t="s">
        <v>550</v>
      </c>
      <c r="F191" s="369" t="s">
        <v>551</v>
      </c>
      <c r="G191" s="113">
        <v>45823</v>
      </c>
      <c r="H191" s="113"/>
      <c r="I191" s="113"/>
      <c r="J191" s="113"/>
      <c r="K191" s="113"/>
      <c r="L191" s="113">
        <v>18348</v>
      </c>
      <c r="M191" s="113"/>
      <c r="N191" s="113"/>
      <c r="O191" s="113"/>
      <c r="P191" s="113">
        <v>19998</v>
      </c>
      <c r="Q191" s="113"/>
      <c r="R191" s="113"/>
      <c r="S191" s="113"/>
      <c r="T191" s="113">
        <v>1650</v>
      </c>
      <c r="U191" s="113"/>
      <c r="V191" s="113"/>
      <c r="W191" s="113"/>
      <c r="X191" s="113">
        <v>1650</v>
      </c>
      <c r="Y191" s="113">
        <v>0</v>
      </c>
      <c r="Z191" s="113"/>
      <c r="AA191" s="113"/>
      <c r="AB191" s="113"/>
      <c r="AC191" s="113"/>
      <c r="AD191" s="348">
        <f t="shared" si="9"/>
        <v>0</v>
      </c>
      <c r="AE191" s="348"/>
      <c r="AF191" s="348"/>
      <c r="AG191" s="348"/>
      <c r="AH191" s="348">
        <f t="shared" si="11"/>
        <v>0</v>
      </c>
    </row>
    <row r="192" spans="1:34" ht="47.25">
      <c r="A192" s="347" t="s">
        <v>23</v>
      </c>
      <c r="B192" s="337" t="s">
        <v>552</v>
      </c>
      <c r="C192" s="347" t="s">
        <v>287</v>
      </c>
      <c r="D192" s="347"/>
      <c r="E192" s="369" t="s">
        <v>553</v>
      </c>
      <c r="F192" s="369" t="s">
        <v>554</v>
      </c>
      <c r="G192" s="113">
        <v>69674</v>
      </c>
      <c r="H192" s="113"/>
      <c r="I192" s="113"/>
      <c r="J192" s="113"/>
      <c r="K192" s="113"/>
      <c r="L192" s="113">
        <v>38852</v>
      </c>
      <c r="M192" s="113"/>
      <c r="N192" s="113"/>
      <c r="O192" s="113"/>
      <c r="P192" s="113">
        <v>38852</v>
      </c>
      <c r="Q192" s="113"/>
      <c r="R192" s="113"/>
      <c r="S192" s="113"/>
      <c r="T192" s="113">
        <v>20.635159999999999</v>
      </c>
      <c r="U192" s="113"/>
      <c r="V192" s="113"/>
      <c r="W192" s="113"/>
      <c r="X192" s="113">
        <v>20.635159999999999</v>
      </c>
      <c r="Y192" s="113">
        <v>0</v>
      </c>
      <c r="Z192" s="113"/>
      <c r="AA192" s="113"/>
      <c r="AB192" s="113"/>
      <c r="AC192" s="113"/>
      <c r="AD192" s="348">
        <f t="shared" si="9"/>
        <v>0</v>
      </c>
      <c r="AE192" s="348"/>
      <c r="AF192" s="348"/>
      <c r="AG192" s="348"/>
      <c r="AH192" s="348">
        <f t="shared" si="11"/>
        <v>0</v>
      </c>
    </row>
    <row r="193" spans="1:34" ht="31.5">
      <c r="A193" s="347" t="s">
        <v>23</v>
      </c>
      <c r="B193" s="337" t="s">
        <v>555</v>
      </c>
      <c r="C193" s="347" t="s">
        <v>287</v>
      </c>
      <c r="D193" s="347"/>
      <c r="E193" s="369" t="s">
        <v>556</v>
      </c>
      <c r="F193" s="369" t="s">
        <v>557</v>
      </c>
      <c r="G193" s="113">
        <v>334626</v>
      </c>
      <c r="H193" s="113"/>
      <c r="I193" s="113"/>
      <c r="J193" s="113"/>
      <c r="K193" s="113"/>
      <c r="L193" s="113">
        <v>10942</v>
      </c>
      <c r="M193" s="113"/>
      <c r="N193" s="113"/>
      <c r="O193" s="113"/>
      <c r="P193" s="113">
        <v>11267</v>
      </c>
      <c r="Q193" s="113"/>
      <c r="R193" s="113"/>
      <c r="S193" s="113"/>
      <c r="T193" s="113">
        <v>376.13400000000024</v>
      </c>
      <c r="U193" s="113"/>
      <c r="V193" s="113"/>
      <c r="W193" s="113"/>
      <c r="X193" s="113">
        <v>376.13400000000024</v>
      </c>
      <c r="Y193" s="113">
        <v>0</v>
      </c>
      <c r="Z193" s="113"/>
      <c r="AA193" s="113"/>
      <c r="AB193" s="113"/>
      <c r="AC193" s="113"/>
      <c r="AD193" s="348">
        <f t="shared" si="9"/>
        <v>0</v>
      </c>
      <c r="AE193" s="348"/>
      <c r="AF193" s="348"/>
      <c r="AG193" s="348"/>
      <c r="AH193" s="348">
        <f t="shared" si="11"/>
        <v>0</v>
      </c>
    </row>
    <row r="194" spans="1:34" ht="31.5">
      <c r="A194" s="347" t="s">
        <v>23</v>
      </c>
      <c r="B194" s="337" t="s">
        <v>558</v>
      </c>
      <c r="C194" s="347" t="s">
        <v>287</v>
      </c>
      <c r="D194" s="347"/>
      <c r="E194" s="369" t="s">
        <v>547</v>
      </c>
      <c r="F194" s="369" t="s">
        <v>557</v>
      </c>
      <c r="G194" s="113">
        <v>34396</v>
      </c>
      <c r="H194" s="113"/>
      <c r="I194" s="113"/>
      <c r="J194" s="113"/>
      <c r="K194" s="113"/>
      <c r="L194" s="113">
        <v>3690</v>
      </c>
      <c r="M194" s="113"/>
      <c r="N194" s="113"/>
      <c r="O194" s="113"/>
      <c r="P194" s="113">
        <v>3808</v>
      </c>
      <c r="Q194" s="113"/>
      <c r="R194" s="113"/>
      <c r="S194" s="113"/>
      <c r="T194" s="113">
        <v>124.82102599999999</v>
      </c>
      <c r="U194" s="113"/>
      <c r="V194" s="113"/>
      <c r="W194" s="113"/>
      <c r="X194" s="113">
        <v>124.82102599999999</v>
      </c>
      <c r="Y194" s="113">
        <v>0</v>
      </c>
      <c r="Z194" s="113"/>
      <c r="AA194" s="113"/>
      <c r="AB194" s="113"/>
      <c r="AC194" s="113"/>
      <c r="AD194" s="348">
        <f t="shared" si="9"/>
        <v>0</v>
      </c>
      <c r="AE194" s="348"/>
      <c r="AF194" s="348"/>
      <c r="AG194" s="348"/>
      <c r="AH194" s="348">
        <f t="shared" si="11"/>
        <v>0</v>
      </c>
    </row>
    <row r="195" spans="1:34" ht="63">
      <c r="A195" s="347" t="s">
        <v>23</v>
      </c>
      <c r="B195" s="337" t="s">
        <v>559</v>
      </c>
      <c r="C195" s="347" t="s">
        <v>446</v>
      </c>
      <c r="D195" s="347"/>
      <c r="E195" s="369">
        <v>2017</v>
      </c>
      <c r="F195" s="369" t="s">
        <v>518</v>
      </c>
      <c r="G195" s="113">
        <v>1479000</v>
      </c>
      <c r="H195" s="113"/>
      <c r="I195" s="113"/>
      <c r="J195" s="113">
        <v>1479000</v>
      </c>
      <c r="K195" s="113"/>
      <c r="L195" s="113">
        <v>5188</v>
      </c>
      <c r="M195" s="113"/>
      <c r="N195" s="113"/>
      <c r="O195" s="113"/>
      <c r="P195" s="113"/>
      <c r="Q195" s="113"/>
      <c r="R195" s="113"/>
      <c r="S195" s="113"/>
      <c r="T195" s="113">
        <v>810000</v>
      </c>
      <c r="U195" s="113"/>
      <c r="V195" s="113"/>
      <c r="W195" s="113">
        <v>810000</v>
      </c>
      <c r="X195" s="113"/>
      <c r="Y195" s="113">
        <v>4550</v>
      </c>
      <c r="Z195" s="113"/>
      <c r="AA195" s="113"/>
      <c r="AB195" s="113">
        <v>4550</v>
      </c>
      <c r="AC195" s="113"/>
      <c r="AD195" s="348">
        <f t="shared" si="9"/>
        <v>5.6172839506172844E-3</v>
      </c>
      <c r="AE195" s="348"/>
      <c r="AF195" s="348"/>
      <c r="AG195" s="348">
        <f>AB195/W195</f>
        <v>5.6172839506172844E-3</v>
      </c>
      <c r="AH195" s="348"/>
    </row>
    <row r="196" spans="1:34" ht="31.5">
      <c r="A196" s="347" t="s">
        <v>23</v>
      </c>
      <c r="B196" s="337" t="s">
        <v>560</v>
      </c>
      <c r="C196" s="347" t="s">
        <v>476</v>
      </c>
      <c r="D196" s="347"/>
      <c r="E196" s="369" t="s">
        <v>561</v>
      </c>
      <c r="F196" s="369" t="s">
        <v>562</v>
      </c>
      <c r="G196" s="113">
        <v>639228</v>
      </c>
      <c r="H196" s="113"/>
      <c r="I196" s="113"/>
      <c r="J196" s="113"/>
      <c r="K196" s="113"/>
      <c r="L196" s="113"/>
      <c r="M196" s="113"/>
      <c r="N196" s="113"/>
      <c r="O196" s="113"/>
      <c r="P196" s="113">
        <v>573515</v>
      </c>
      <c r="Q196" s="113"/>
      <c r="R196" s="113"/>
      <c r="S196" s="113"/>
      <c r="T196" s="113">
        <v>4510</v>
      </c>
      <c r="U196" s="113"/>
      <c r="V196" s="113"/>
      <c r="W196" s="113">
        <v>4510</v>
      </c>
      <c r="X196" s="113"/>
      <c r="Y196" s="113">
        <v>3983</v>
      </c>
      <c r="Z196" s="113"/>
      <c r="AA196" s="113"/>
      <c r="AB196" s="113">
        <v>3983</v>
      </c>
      <c r="AC196" s="113"/>
      <c r="AD196" s="348">
        <f t="shared" si="9"/>
        <v>0.88314855875831488</v>
      </c>
      <c r="AE196" s="348"/>
      <c r="AF196" s="348"/>
      <c r="AG196" s="348">
        <f>AB196/W196</f>
        <v>0.88314855875831488</v>
      </c>
      <c r="AH196" s="348"/>
    </row>
    <row r="197" spans="1:34" ht="31.5">
      <c r="A197" s="347" t="s">
        <v>23</v>
      </c>
      <c r="B197" s="337" t="s">
        <v>563</v>
      </c>
      <c r="C197" s="347"/>
      <c r="D197" s="347"/>
      <c r="E197" s="369"/>
      <c r="F197" s="369"/>
      <c r="G197" s="113"/>
      <c r="H197" s="113"/>
      <c r="I197" s="113"/>
      <c r="J197" s="113"/>
      <c r="K197" s="113"/>
      <c r="L197" s="113"/>
      <c r="M197" s="113"/>
      <c r="N197" s="113"/>
      <c r="O197" s="113"/>
      <c r="P197" s="113"/>
      <c r="Q197" s="113"/>
      <c r="R197" s="113"/>
      <c r="S197" s="113"/>
      <c r="T197" s="113">
        <v>50.185400000000001</v>
      </c>
      <c r="U197" s="113"/>
      <c r="V197" s="113"/>
      <c r="W197" s="113">
        <v>50.185400000000001</v>
      </c>
      <c r="X197" s="113"/>
      <c r="Y197" s="113">
        <v>0</v>
      </c>
      <c r="Z197" s="113"/>
      <c r="AA197" s="113"/>
      <c r="AB197" s="113"/>
      <c r="AC197" s="113"/>
      <c r="AD197" s="348">
        <f t="shared" si="9"/>
        <v>0</v>
      </c>
      <c r="AE197" s="348"/>
      <c r="AF197" s="348"/>
      <c r="AG197" s="348">
        <f>AB197/W197</f>
        <v>0</v>
      </c>
      <c r="AH197" s="348"/>
    </row>
    <row r="198" spans="1:34" ht="31.5">
      <c r="A198" s="347" t="s">
        <v>23</v>
      </c>
      <c r="B198" s="337" t="s">
        <v>564</v>
      </c>
      <c r="C198" s="347" t="s">
        <v>213</v>
      </c>
      <c r="D198" s="347"/>
      <c r="E198" s="369" t="s">
        <v>447</v>
      </c>
      <c r="F198" s="369" t="s">
        <v>565</v>
      </c>
      <c r="G198" s="113">
        <v>93383</v>
      </c>
      <c r="H198" s="113"/>
      <c r="I198" s="113"/>
      <c r="J198" s="113"/>
      <c r="K198" s="113"/>
      <c r="L198" s="113">
        <v>33880</v>
      </c>
      <c r="M198" s="113"/>
      <c r="N198" s="113"/>
      <c r="O198" s="113"/>
      <c r="P198" s="113">
        <v>33100</v>
      </c>
      <c r="Q198" s="113"/>
      <c r="R198" s="113">
        <v>30100</v>
      </c>
      <c r="S198" s="113"/>
      <c r="T198" s="113">
        <v>1653.8230530000001</v>
      </c>
      <c r="U198" s="113"/>
      <c r="V198" s="113"/>
      <c r="W198" s="113"/>
      <c r="X198" s="113">
        <v>1653.8230530000001</v>
      </c>
      <c r="Y198" s="113"/>
      <c r="Z198" s="113"/>
      <c r="AA198" s="113"/>
      <c r="AB198" s="113"/>
      <c r="AC198" s="113"/>
      <c r="AD198" s="348">
        <f t="shared" si="9"/>
        <v>0</v>
      </c>
      <c r="AE198" s="348"/>
      <c r="AF198" s="348"/>
      <c r="AG198" s="348"/>
      <c r="AH198" s="348">
        <f>AC198/X198</f>
        <v>0</v>
      </c>
    </row>
    <row r="199" spans="1:34" ht="31.5">
      <c r="A199" s="347" t="s">
        <v>23</v>
      </c>
      <c r="B199" s="337" t="s">
        <v>566</v>
      </c>
      <c r="C199" s="347" t="s">
        <v>287</v>
      </c>
      <c r="D199" s="347"/>
      <c r="E199" s="369">
        <v>2011</v>
      </c>
      <c r="F199" s="369" t="s">
        <v>487</v>
      </c>
      <c r="G199" s="113">
        <v>499</v>
      </c>
      <c r="H199" s="113"/>
      <c r="I199" s="113"/>
      <c r="J199" s="113"/>
      <c r="K199" s="113"/>
      <c r="L199" s="113">
        <v>60</v>
      </c>
      <c r="M199" s="113"/>
      <c r="N199" s="113"/>
      <c r="O199" s="113"/>
      <c r="P199" s="113">
        <v>100</v>
      </c>
      <c r="Q199" s="113"/>
      <c r="R199" s="113"/>
      <c r="S199" s="113"/>
      <c r="T199" s="113">
        <v>39.957000000000001</v>
      </c>
      <c r="U199" s="113"/>
      <c r="V199" s="113"/>
      <c r="W199" s="113"/>
      <c r="X199" s="113">
        <v>39.957000000000001</v>
      </c>
      <c r="Y199" s="113">
        <v>0</v>
      </c>
      <c r="Z199" s="113"/>
      <c r="AA199" s="113"/>
      <c r="AB199" s="113"/>
      <c r="AC199" s="113"/>
      <c r="AD199" s="348">
        <f t="shared" si="9"/>
        <v>0</v>
      </c>
      <c r="AE199" s="348"/>
      <c r="AF199" s="348"/>
      <c r="AG199" s="348"/>
      <c r="AH199" s="348">
        <f>AC199/X199</f>
        <v>0</v>
      </c>
    </row>
    <row r="200" spans="1:34" ht="47.25">
      <c r="A200" s="347" t="s">
        <v>23</v>
      </c>
      <c r="B200" s="337" t="s">
        <v>567</v>
      </c>
      <c r="C200" s="347"/>
      <c r="D200" s="347"/>
      <c r="E200" s="369"/>
      <c r="F200" s="369"/>
      <c r="G200" s="113"/>
      <c r="H200" s="113"/>
      <c r="I200" s="113"/>
      <c r="J200" s="113"/>
      <c r="K200" s="113"/>
      <c r="L200" s="113"/>
      <c r="M200" s="113"/>
      <c r="N200" s="113"/>
      <c r="O200" s="113"/>
      <c r="P200" s="113"/>
      <c r="Q200" s="113"/>
      <c r="R200" s="113"/>
      <c r="S200" s="113"/>
      <c r="T200" s="113">
        <v>3.99</v>
      </c>
      <c r="U200" s="113"/>
      <c r="V200" s="113"/>
      <c r="W200" s="113"/>
      <c r="X200" s="113">
        <v>3.99</v>
      </c>
      <c r="Y200" s="113">
        <v>0</v>
      </c>
      <c r="Z200" s="113"/>
      <c r="AA200" s="113"/>
      <c r="AB200" s="113"/>
      <c r="AC200" s="113"/>
      <c r="AD200" s="348">
        <f t="shared" si="9"/>
        <v>0</v>
      </c>
      <c r="AE200" s="348"/>
      <c r="AF200" s="348"/>
      <c r="AG200" s="348"/>
      <c r="AH200" s="348">
        <f>AC200/X200</f>
        <v>0</v>
      </c>
    </row>
    <row r="201" spans="1:34">
      <c r="A201" s="347" t="s">
        <v>23</v>
      </c>
      <c r="B201" s="337" t="s">
        <v>568</v>
      </c>
      <c r="C201" s="347"/>
      <c r="D201" s="347"/>
      <c r="E201" s="369"/>
      <c r="F201" s="369"/>
      <c r="G201" s="113"/>
      <c r="H201" s="113"/>
      <c r="I201" s="113"/>
      <c r="J201" s="113"/>
      <c r="K201" s="113"/>
      <c r="L201" s="113"/>
      <c r="M201" s="113"/>
      <c r="N201" s="113"/>
      <c r="O201" s="113"/>
      <c r="P201" s="113"/>
      <c r="Q201" s="113"/>
      <c r="R201" s="113"/>
      <c r="S201" s="113"/>
      <c r="T201" s="113">
        <v>115.813</v>
      </c>
      <c r="U201" s="113"/>
      <c r="V201" s="113"/>
      <c r="W201" s="113"/>
      <c r="X201" s="113">
        <v>115.813</v>
      </c>
      <c r="Y201" s="113">
        <v>0</v>
      </c>
      <c r="Z201" s="113"/>
      <c r="AA201" s="113"/>
      <c r="AB201" s="113"/>
      <c r="AC201" s="113"/>
      <c r="AD201" s="348">
        <f t="shared" si="9"/>
        <v>0</v>
      </c>
      <c r="AE201" s="348"/>
      <c r="AF201" s="348"/>
      <c r="AG201" s="348"/>
      <c r="AH201" s="348">
        <f>AC201/X201</f>
        <v>0</v>
      </c>
    </row>
    <row r="202" spans="1:34" ht="63">
      <c r="A202" s="347" t="s">
        <v>23</v>
      </c>
      <c r="B202" s="337" t="s">
        <v>569</v>
      </c>
      <c r="C202" s="347"/>
      <c r="D202" s="347"/>
      <c r="E202" s="369"/>
      <c r="F202" s="369"/>
      <c r="G202" s="113"/>
      <c r="H202" s="113"/>
      <c r="I202" s="113"/>
      <c r="J202" s="113"/>
      <c r="K202" s="113"/>
      <c r="L202" s="113"/>
      <c r="M202" s="113"/>
      <c r="N202" s="113"/>
      <c r="O202" s="113"/>
      <c r="P202" s="113"/>
      <c r="Q202" s="113"/>
      <c r="R202" s="113"/>
      <c r="S202" s="113"/>
      <c r="T202" s="113">
        <v>53.188000000000002</v>
      </c>
      <c r="U202" s="113"/>
      <c r="V202" s="113"/>
      <c r="W202" s="113"/>
      <c r="X202" s="113">
        <v>53.188000000000002</v>
      </c>
      <c r="Y202" s="113">
        <v>0</v>
      </c>
      <c r="Z202" s="113"/>
      <c r="AA202" s="113"/>
      <c r="AB202" s="113"/>
      <c r="AC202" s="113"/>
      <c r="AD202" s="348">
        <f t="shared" si="9"/>
        <v>0</v>
      </c>
      <c r="AE202" s="348"/>
      <c r="AF202" s="348"/>
      <c r="AG202" s="348"/>
      <c r="AH202" s="348">
        <f>AC202/X202</f>
        <v>0</v>
      </c>
    </row>
    <row r="203" spans="1:34" s="346" customFormat="1">
      <c r="A203" s="334">
        <v>32</v>
      </c>
      <c r="B203" s="335" t="s">
        <v>158</v>
      </c>
      <c r="C203" s="334"/>
      <c r="D203" s="334"/>
      <c r="E203" s="357"/>
      <c r="F203" s="357"/>
      <c r="G203" s="345"/>
      <c r="H203" s="345"/>
      <c r="I203" s="345"/>
      <c r="J203" s="345"/>
      <c r="K203" s="345"/>
      <c r="L203" s="345"/>
      <c r="M203" s="345"/>
      <c r="N203" s="345"/>
      <c r="O203" s="345"/>
      <c r="P203" s="345"/>
      <c r="Q203" s="345"/>
      <c r="R203" s="345"/>
      <c r="S203" s="345"/>
      <c r="T203" s="345"/>
      <c r="U203" s="345"/>
      <c r="V203" s="345"/>
      <c r="W203" s="345"/>
      <c r="X203" s="345"/>
      <c r="Y203" s="345"/>
      <c r="Z203" s="345"/>
      <c r="AA203" s="345"/>
      <c r="AB203" s="345"/>
      <c r="AC203" s="345"/>
      <c r="AD203" s="348"/>
      <c r="AE203" s="348"/>
      <c r="AF203" s="348"/>
      <c r="AG203" s="348"/>
      <c r="AH203" s="348"/>
    </row>
    <row r="204" spans="1:34">
      <c r="A204" s="347" t="s">
        <v>23</v>
      </c>
      <c r="B204" s="337" t="s">
        <v>570</v>
      </c>
      <c r="C204" s="347"/>
      <c r="D204" s="347"/>
      <c r="E204" s="369"/>
      <c r="F204" s="369"/>
      <c r="G204" s="113"/>
      <c r="H204" s="113"/>
      <c r="I204" s="113"/>
      <c r="J204" s="113"/>
      <c r="K204" s="113"/>
      <c r="L204" s="113"/>
      <c r="M204" s="113"/>
      <c r="N204" s="113"/>
      <c r="O204" s="113"/>
      <c r="P204" s="113"/>
      <c r="Q204" s="113"/>
      <c r="R204" s="113"/>
      <c r="S204" s="113"/>
      <c r="T204" s="113">
        <v>73.721500000000006</v>
      </c>
      <c r="U204" s="113"/>
      <c r="V204" s="113"/>
      <c r="W204" s="113"/>
      <c r="X204" s="113">
        <v>73.721500000000006</v>
      </c>
      <c r="Y204" s="113">
        <v>0</v>
      </c>
      <c r="Z204" s="113"/>
      <c r="AA204" s="113"/>
      <c r="AB204" s="113"/>
      <c r="AC204" s="113"/>
      <c r="AD204" s="348">
        <f t="shared" si="9"/>
        <v>0</v>
      </c>
      <c r="AE204" s="348"/>
      <c r="AF204" s="348"/>
      <c r="AG204" s="348"/>
      <c r="AH204" s="348">
        <f>AC204/X204</f>
        <v>0</v>
      </c>
    </row>
    <row r="205" spans="1:34" s="346" customFormat="1" ht="31.5">
      <c r="A205" s="334">
        <v>33</v>
      </c>
      <c r="B205" s="335" t="s">
        <v>159</v>
      </c>
      <c r="C205" s="334"/>
      <c r="D205" s="334"/>
      <c r="E205" s="357"/>
      <c r="F205" s="357"/>
      <c r="G205" s="345"/>
      <c r="H205" s="345"/>
      <c r="I205" s="345"/>
      <c r="J205" s="345"/>
      <c r="K205" s="345"/>
      <c r="L205" s="345"/>
      <c r="M205" s="345"/>
      <c r="N205" s="345"/>
      <c r="O205" s="345"/>
      <c r="P205" s="345"/>
      <c r="Q205" s="345"/>
      <c r="R205" s="345"/>
      <c r="S205" s="345"/>
      <c r="T205" s="345"/>
      <c r="U205" s="345"/>
      <c r="V205" s="345"/>
      <c r="W205" s="345"/>
      <c r="X205" s="345"/>
      <c r="Y205" s="345"/>
      <c r="Z205" s="345"/>
      <c r="AA205" s="345"/>
      <c r="AB205" s="345"/>
      <c r="AC205" s="345"/>
      <c r="AD205" s="348"/>
      <c r="AE205" s="348"/>
      <c r="AF205" s="348"/>
      <c r="AG205" s="348"/>
      <c r="AH205" s="348"/>
    </row>
    <row r="206" spans="1:34" ht="31.5">
      <c r="A206" s="347" t="s">
        <v>23</v>
      </c>
      <c r="B206" s="337" t="s">
        <v>571</v>
      </c>
      <c r="C206" s="347"/>
      <c r="D206" s="347"/>
      <c r="E206" s="369"/>
      <c r="F206" s="369"/>
      <c r="G206" s="113"/>
      <c r="H206" s="113"/>
      <c r="I206" s="113"/>
      <c r="J206" s="113"/>
      <c r="K206" s="113"/>
      <c r="L206" s="113"/>
      <c r="M206" s="113"/>
      <c r="N206" s="113"/>
      <c r="O206" s="113"/>
      <c r="P206" s="113"/>
      <c r="Q206" s="113"/>
      <c r="R206" s="113"/>
      <c r="S206" s="113"/>
      <c r="T206" s="113">
        <v>220.42187999999999</v>
      </c>
      <c r="U206" s="113"/>
      <c r="V206" s="113"/>
      <c r="W206" s="113"/>
      <c r="X206" s="113">
        <v>220.42187999999999</v>
      </c>
      <c r="Y206" s="113">
        <v>0</v>
      </c>
      <c r="Z206" s="113"/>
      <c r="AA206" s="113"/>
      <c r="AB206" s="113"/>
      <c r="AC206" s="113"/>
      <c r="AD206" s="348">
        <f t="shared" ref="AD206:AD269" si="12">Y206/T206</f>
        <v>0</v>
      </c>
      <c r="AE206" s="348"/>
      <c r="AF206" s="348"/>
      <c r="AG206" s="348"/>
      <c r="AH206" s="348">
        <f>AC206/X206</f>
        <v>0</v>
      </c>
    </row>
    <row r="207" spans="1:34" s="346" customFormat="1" ht="31.5">
      <c r="A207" s="334">
        <v>34</v>
      </c>
      <c r="B207" s="335" t="s">
        <v>160</v>
      </c>
      <c r="C207" s="334"/>
      <c r="D207" s="334"/>
      <c r="E207" s="357"/>
      <c r="F207" s="357"/>
      <c r="G207" s="345"/>
      <c r="H207" s="345"/>
      <c r="I207" s="345"/>
      <c r="J207" s="345"/>
      <c r="K207" s="345"/>
      <c r="L207" s="345"/>
      <c r="M207" s="345"/>
      <c r="N207" s="345"/>
      <c r="O207" s="345"/>
      <c r="P207" s="345"/>
      <c r="Q207" s="345"/>
      <c r="R207" s="345"/>
      <c r="S207" s="345"/>
      <c r="T207" s="345"/>
      <c r="U207" s="345"/>
      <c r="V207" s="345"/>
      <c r="W207" s="345"/>
      <c r="X207" s="345"/>
      <c r="Y207" s="345"/>
      <c r="Z207" s="345"/>
      <c r="AA207" s="345"/>
      <c r="AB207" s="345"/>
      <c r="AC207" s="345"/>
      <c r="AD207" s="348"/>
      <c r="AE207" s="348"/>
      <c r="AF207" s="348"/>
      <c r="AG207" s="348"/>
      <c r="AH207" s="348"/>
    </row>
    <row r="208" spans="1:34" ht="31.5">
      <c r="A208" s="347" t="s">
        <v>23</v>
      </c>
      <c r="B208" s="337" t="s">
        <v>572</v>
      </c>
      <c r="C208" s="347"/>
      <c r="D208" s="347"/>
      <c r="E208" s="369"/>
      <c r="F208" s="369"/>
      <c r="G208" s="113"/>
      <c r="H208" s="113"/>
      <c r="I208" s="113"/>
      <c r="J208" s="113"/>
      <c r="K208" s="113"/>
      <c r="L208" s="113"/>
      <c r="M208" s="113"/>
      <c r="N208" s="113"/>
      <c r="O208" s="113"/>
      <c r="P208" s="113"/>
      <c r="Q208" s="113"/>
      <c r="R208" s="113"/>
      <c r="S208" s="113"/>
      <c r="T208" s="113">
        <v>842.16683899999998</v>
      </c>
      <c r="U208" s="113"/>
      <c r="V208" s="113"/>
      <c r="W208" s="113"/>
      <c r="X208" s="113">
        <v>842.16683899999998</v>
      </c>
      <c r="Y208" s="113">
        <v>0</v>
      </c>
      <c r="Z208" s="113"/>
      <c r="AA208" s="113"/>
      <c r="AB208" s="113"/>
      <c r="AC208" s="113"/>
      <c r="AD208" s="348">
        <f t="shared" si="12"/>
        <v>0</v>
      </c>
      <c r="AE208" s="348"/>
      <c r="AF208" s="348"/>
      <c r="AG208" s="348"/>
      <c r="AH208" s="348">
        <f>AC208/X208</f>
        <v>0</v>
      </c>
    </row>
    <row r="209" spans="1:34" ht="31.5">
      <c r="A209" s="347" t="s">
        <v>23</v>
      </c>
      <c r="B209" s="337" t="s">
        <v>573</v>
      </c>
      <c r="C209" s="347"/>
      <c r="D209" s="347"/>
      <c r="E209" s="369"/>
      <c r="F209" s="369"/>
      <c r="G209" s="113"/>
      <c r="H209" s="113"/>
      <c r="I209" s="113"/>
      <c r="J209" s="113"/>
      <c r="K209" s="113"/>
      <c r="L209" s="113"/>
      <c r="M209" s="113"/>
      <c r="N209" s="113"/>
      <c r="O209" s="113"/>
      <c r="P209" s="113"/>
      <c r="Q209" s="113"/>
      <c r="R209" s="113"/>
      <c r="S209" s="113"/>
      <c r="T209" s="113">
        <v>1825.2883609999999</v>
      </c>
      <c r="U209" s="113"/>
      <c r="V209" s="113"/>
      <c r="W209" s="113"/>
      <c r="X209" s="113">
        <v>1825.2883609999999</v>
      </c>
      <c r="Y209" s="113">
        <v>0</v>
      </c>
      <c r="Z209" s="113"/>
      <c r="AA209" s="113"/>
      <c r="AB209" s="113"/>
      <c r="AC209" s="113"/>
      <c r="AD209" s="348">
        <f t="shared" si="12"/>
        <v>0</v>
      </c>
      <c r="AE209" s="348"/>
      <c r="AF209" s="348"/>
      <c r="AG209" s="348"/>
      <c r="AH209" s="348">
        <f>AC209/X209</f>
        <v>0</v>
      </c>
    </row>
    <row r="210" spans="1:34" s="346" customFormat="1">
      <c r="A210" s="334">
        <v>35</v>
      </c>
      <c r="B210" s="335" t="s">
        <v>109</v>
      </c>
      <c r="C210" s="334"/>
      <c r="D210" s="334"/>
      <c r="E210" s="357"/>
      <c r="F210" s="357"/>
      <c r="G210" s="345"/>
      <c r="H210" s="345"/>
      <c r="I210" s="345"/>
      <c r="J210" s="345"/>
      <c r="K210" s="345"/>
      <c r="L210" s="345"/>
      <c r="M210" s="345"/>
      <c r="N210" s="345"/>
      <c r="O210" s="345"/>
      <c r="P210" s="345"/>
      <c r="Q210" s="345"/>
      <c r="R210" s="345"/>
      <c r="S210" s="345"/>
      <c r="T210" s="345"/>
      <c r="U210" s="345"/>
      <c r="V210" s="345"/>
      <c r="W210" s="345"/>
      <c r="X210" s="345"/>
      <c r="Y210" s="345"/>
      <c r="Z210" s="345"/>
      <c r="AA210" s="345"/>
      <c r="AB210" s="345"/>
      <c r="AC210" s="345"/>
      <c r="AD210" s="348"/>
      <c r="AE210" s="348"/>
      <c r="AF210" s="348"/>
      <c r="AG210" s="348"/>
      <c r="AH210" s="348"/>
    </row>
    <row r="211" spans="1:34" ht="75">
      <c r="A211" s="347" t="s">
        <v>23</v>
      </c>
      <c r="B211" s="337" t="s">
        <v>574</v>
      </c>
      <c r="C211" s="347" t="s">
        <v>213</v>
      </c>
      <c r="D211" s="347"/>
      <c r="E211" s="369" t="s">
        <v>281</v>
      </c>
      <c r="F211" s="369" t="s">
        <v>575</v>
      </c>
      <c r="G211" s="113">
        <v>33800</v>
      </c>
      <c r="H211" s="113"/>
      <c r="I211" s="113"/>
      <c r="J211" s="113"/>
      <c r="K211" s="113">
        <v>9000</v>
      </c>
      <c r="L211" s="113">
        <v>10000</v>
      </c>
      <c r="M211" s="113"/>
      <c r="N211" s="113"/>
      <c r="O211" s="113">
        <v>9000</v>
      </c>
      <c r="P211" s="113">
        <v>8000</v>
      </c>
      <c r="Q211" s="113"/>
      <c r="R211" s="113"/>
      <c r="S211" s="113">
        <v>7000</v>
      </c>
      <c r="T211" s="113">
        <v>2000</v>
      </c>
      <c r="U211" s="113"/>
      <c r="V211" s="113"/>
      <c r="W211" s="113"/>
      <c r="X211" s="113">
        <v>2000</v>
      </c>
      <c r="Y211" s="113">
        <v>2000</v>
      </c>
      <c r="Z211" s="113"/>
      <c r="AA211" s="113"/>
      <c r="AB211" s="113"/>
      <c r="AC211" s="113">
        <v>2000</v>
      </c>
      <c r="AD211" s="348">
        <f t="shared" si="12"/>
        <v>1</v>
      </c>
      <c r="AE211" s="348"/>
      <c r="AF211" s="348"/>
      <c r="AG211" s="348"/>
      <c r="AH211" s="348">
        <f>AC211/X211</f>
        <v>1</v>
      </c>
    </row>
    <row r="212" spans="1:34" ht="47.25">
      <c r="A212" s="347" t="s">
        <v>23</v>
      </c>
      <c r="B212" s="337" t="s">
        <v>576</v>
      </c>
      <c r="C212" s="347" t="s">
        <v>213</v>
      </c>
      <c r="D212" s="347"/>
      <c r="E212" s="369" t="s">
        <v>577</v>
      </c>
      <c r="F212" s="369" t="s">
        <v>578</v>
      </c>
      <c r="G212" s="113">
        <v>2575</v>
      </c>
      <c r="H212" s="113"/>
      <c r="I212" s="113"/>
      <c r="J212" s="113"/>
      <c r="K212" s="113">
        <v>2575</v>
      </c>
      <c r="L212" s="113">
        <v>2238</v>
      </c>
      <c r="M212" s="113"/>
      <c r="N212" s="113"/>
      <c r="O212" s="113">
        <v>2238</v>
      </c>
      <c r="P212" s="113">
        <v>2238</v>
      </c>
      <c r="Q212" s="113"/>
      <c r="R212" s="113"/>
      <c r="S212" s="113">
        <v>2238</v>
      </c>
      <c r="T212" s="113">
        <v>238</v>
      </c>
      <c r="U212" s="113"/>
      <c r="V212" s="113"/>
      <c r="W212" s="113"/>
      <c r="X212" s="113">
        <v>238</v>
      </c>
      <c r="Y212" s="113">
        <v>237.78</v>
      </c>
      <c r="Z212" s="113"/>
      <c r="AA212" s="113"/>
      <c r="AB212" s="113"/>
      <c r="AC212" s="113">
        <v>237.78</v>
      </c>
      <c r="AD212" s="348">
        <f t="shared" si="12"/>
        <v>0.99907563025210089</v>
      </c>
      <c r="AE212" s="348"/>
      <c r="AF212" s="348"/>
      <c r="AG212" s="348"/>
      <c r="AH212" s="348">
        <f>AC212/X212</f>
        <v>0.99907563025210089</v>
      </c>
    </row>
    <row r="213" spans="1:34" ht="47.25">
      <c r="A213" s="347" t="s">
        <v>23</v>
      </c>
      <c r="B213" s="337" t="s">
        <v>579</v>
      </c>
      <c r="C213" s="347" t="s">
        <v>213</v>
      </c>
      <c r="D213" s="347"/>
      <c r="E213" s="369" t="s">
        <v>281</v>
      </c>
      <c r="F213" s="369" t="s">
        <v>580</v>
      </c>
      <c r="G213" s="113">
        <v>9396</v>
      </c>
      <c r="H213" s="113"/>
      <c r="I213" s="113"/>
      <c r="J213" s="113"/>
      <c r="K213" s="113">
        <v>9396</v>
      </c>
      <c r="L213" s="113">
        <v>8286</v>
      </c>
      <c r="M213" s="113"/>
      <c r="N213" s="113"/>
      <c r="O213" s="113">
        <v>8286</v>
      </c>
      <c r="P213" s="113">
        <v>8286</v>
      </c>
      <c r="Q213" s="113"/>
      <c r="R213" s="113"/>
      <c r="S213" s="113">
        <v>8286</v>
      </c>
      <c r="T213" s="113">
        <v>6328.723</v>
      </c>
      <c r="U213" s="113"/>
      <c r="V213" s="113"/>
      <c r="W213" s="113"/>
      <c r="X213" s="113">
        <v>6328.723</v>
      </c>
      <c r="Y213" s="113">
        <v>6328.723</v>
      </c>
      <c r="Z213" s="113"/>
      <c r="AA213" s="113"/>
      <c r="AB213" s="113"/>
      <c r="AC213" s="113">
        <v>6328.723</v>
      </c>
      <c r="AD213" s="348">
        <f t="shared" si="12"/>
        <v>1</v>
      </c>
      <c r="AE213" s="348"/>
      <c r="AF213" s="348"/>
      <c r="AG213" s="348"/>
      <c r="AH213" s="348">
        <f>AC213/X213</f>
        <v>1</v>
      </c>
    </row>
    <row r="214" spans="1:34" ht="47.25">
      <c r="A214" s="347" t="s">
        <v>23</v>
      </c>
      <c r="B214" s="337" t="s">
        <v>581</v>
      </c>
      <c r="C214" s="347" t="s">
        <v>213</v>
      </c>
      <c r="D214" s="347"/>
      <c r="E214" s="369" t="s">
        <v>290</v>
      </c>
      <c r="F214" s="369" t="s">
        <v>582</v>
      </c>
      <c r="G214" s="113">
        <v>83656</v>
      </c>
      <c r="H214" s="113"/>
      <c r="I214" s="113"/>
      <c r="J214" s="113"/>
      <c r="K214" s="113">
        <v>25097</v>
      </c>
      <c r="L214" s="113">
        <v>8900</v>
      </c>
      <c r="M214" s="113"/>
      <c r="N214" s="113"/>
      <c r="O214" s="113">
        <v>8900</v>
      </c>
      <c r="P214" s="113">
        <v>5600</v>
      </c>
      <c r="Q214" s="113"/>
      <c r="R214" s="113"/>
      <c r="S214" s="113">
        <v>5600</v>
      </c>
      <c r="T214" s="113">
        <v>5600</v>
      </c>
      <c r="U214" s="113"/>
      <c r="V214" s="113"/>
      <c r="W214" s="113"/>
      <c r="X214" s="113">
        <v>5600</v>
      </c>
      <c r="Y214" s="113">
        <v>0</v>
      </c>
      <c r="Z214" s="113"/>
      <c r="AA214" s="113"/>
      <c r="AB214" s="113"/>
      <c r="AC214" s="113"/>
      <c r="AD214" s="348">
        <f t="shared" si="12"/>
        <v>0</v>
      </c>
      <c r="AE214" s="348"/>
      <c r="AF214" s="348"/>
      <c r="AG214" s="348"/>
      <c r="AH214" s="348">
        <f>AC214/X214</f>
        <v>0</v>
      </c>
    </row>
    <row r="215" spans="1:34" ht="31.5">
      <c r="A215" s="347" t="s">
        <v>23</v>
      </c>
      <c r="B215" s="337" t="s">
        <v>583</v>
      </c>
      <c r="C215" s="347" t="s">
        <v>584</v>
      </c>
      <c r="D215" s="347"/>
      <c r="E215" s="369" t="s">
        <v>585</v>
      </c>
      <c r="F215" s="369" t="s">
        <v>586</v>
      </c>
      <c r="G215" s="113">
        <v>14776</v>
      </c>
      <c r="H215" s="113"/>
      <c r="I215" s="113"/>
      <c r="J215" s="113"/>
      <c r="K215" s="113">
        <v>9776</v>
      </c>
      <c r="L215" s="113">
        <v>14000</v>
      </c>
      <c r="M215" s="113"/>
      <c r="N215" s="113"/>
      <c r="O215" s="113">
        <v>9000</v>
      </c>
      <c r="P215" s="113">
        <v>8500</v>
      </c>
      <c r="Q215" s="113"/>
      <c r="R215" s="113"/>
      <c r="S215" s="113">
        <v>3500</v>
      </c>
      <c r="T215" s="113">
        <v>1500</v>
      </c>
      <c r="U215" s="113"/>
      <c r="V215" s="113"/>
      <c r="W215" s="113"/>
      <c r="X215" s="113">
        <v>1500</v>
      </c>
      <c r="Y215" s="113">
        <v>0</v>
      </c>
      <c r="Z215" s="113"/>
      <c r="AA215" s="113"/>
      <c r="AB215" s="113"/>
      <c r="AC215" s="113"/>
      <c r="AD215" s="348">
        <f t="shared" si="12"/>
        <v>0</v>
      </c>
      <c r="AE215" s="348"/>
      <c r="AF215" s="348"/>
      <c r="AG215" s="348"/>
      <c r="AH215" s="348">
        <f>AC215/X215</f>
        <v>0</v>
      </c>
    </row>
    <row r="216" spans="1:34" s="346" customFormat="1" ht="31.5">
      <c r="A216" s="334">
        <v>36</v>
      </c>
      <c r="B216" s="335" t="s">
        <v>161</v>
      </c>
      <c r="C216" s="334"/>
      <c r="D216" s="334"/>
      <c r="E216" s="357"/>
      <c r="F216" s="357"/>
      <c r="G216" s="345"/>
      <c r="H216" s="345"/>
      <c r="I216" s="345"/>
      <c r="J216" s="345"/>
      <c r="K216" s="345"/>
      <c r="L216" s="345"/>
      <c r="M216" s="345"/>
      <c r="N216" s="345"/>
      <c r="O216" s="345"/>
      <c r="P216" s="345"/>
      <c r="Q216" s="345"/>
      <c r="R216" s="345"/>
      <c r="S216" s="345"/>
      <c r="T216" s="345"/>
      <c r="U216" s="345"/>
      <c r="V216" s="345"/>
      <c r="W216" s="345"/>
      <c r="X216" s="345"/>
      <c r="Y216" s="345"/>
      <c r="Z216" s="345"/>
      <c r="AA216" s="345"/>
      <c r="AB216" s="345"/>
      <c r="AC216" s="345"/>
      <c r="AD216" s="348"/>
      <c r="AE216" s="348"/>
      <c r="AF216" s="348"/>
      <c r="AG216" s="348"/>
      <c r="AH216" s="348"/>
    </row>
    <row r="217" spans="1:34" ht="31.5">
      <c r="A217" s="347" t="s">
        <v>23</v>
      </c>
      <c r="B217" s="337" t="s">
        <v>587</v>
      </c>
      <c r="C217" s="347"/>
      <c r="D217" s="347"/>
      <c r="E217" s="369"/>
      <c r="F217" s="369"/>
      <c r="G217" s="113"/>
      <c r="H217" s="113"/>
      <c r="I217" s="113"/>
      <c r="J217" s="113"/>
      <c r="K217" s="113"/>
      <c r="L217" s="113"/>
      <c r="M217" s="113"/>
      <c r="N217" s="113"/>
      <c r="O217" s="113"/>
      <c r="P217" s="113"/>
      <c r="Q217" s="113"/>
      <c r="R217" s="113"/>
      <c r="S217" s="113"/>
      <c r="T217" s="113">
        <v>5.179606999999919</v>
      </c>
      <c r="U217" s="113"/>
      <c r="V217" s="113"/>
      <c r="W217" s="113"/>
      <c r="X217" s="113">
        <v>5.179606999999919</v>
      </c>
      <c r="Y217" s="113">
        <v>2.0116399999999999</v>
      </c>
      <c r="Z217" s="113"/>
      <c r="AA217" s="113"/>
      <c r="AB217" s="113"/>
      <c r="AC217" s="113">
        <v>2.0116399999999999</v>
      </c>
      <c r="AD217" s="348">
        <f t="shared" si="12"/>
        <v>0.38837695601230582</v>
      </c>
      <c r="AE217" s="348"/>
      <c r="AF217" s="348"/>
      <c r="AG217" s="348"/>
      <c r="AH217" s="348">
        <f>AC217/X217</f>
        <v>0.38837695601230582</v>
      </c>
    </row>
    <row r="218" spans="1:34" ht="31.5">
      <c r="A218" s="347" t="s">
        <v>23</v>
      </c>
      <c r="B218" s="337" t="s">
        <v>588</v>
      </c>
      <c r="C218" s="347"/>
      <c r="D218" s="347"/>
      <c r="E218" s="369"/>
      <c r="F218" s="369"/>
      <c r="G218" s="113"/>
      <c r="H218" s="113"/>
      <c r="I218" s="113"/>
      <c r="J218" s="113"/>
      <c r="K218" s="113"/>
      <c r="L218" s="113"/>
      <c r="M218" s="113"/>
      <c r="N218" s="113"/>
      <c r="O218" s="113"/>
      <c r="P218" s="113"/>
      <c r="Q218" s="113"/>
      <c r="R218" s="113"/>
      <c r="S218" s="113"/>
      <c r="T218" s="113">
        <v>500</v>
      </c>
      <c r="U218" s="113"/>
      <c r="V218" s="113"/>
      <c r="W218" s="113"/>
      <c r="X218" s="113">
        <v>500</v>
      </c>
      <c r="Y218" s="113">
        <v>500</v>
      </c>
      <c r="Z218" s="113"/>
      <c r="AA218" s="113"/>
      <c r="AB218" s="113"/>
      <c r="AC218" s="113">
        <v>500</v>
      </c>
      <c r="AD218" s="348">
        <f t="shared" si="12"/>
        <v>1</v>
      </c>
      <c r="AE218" s="348"/>
      <c r="AF218" s="348"/>
      <c r="AG218" s="348"/>
      <c r="AH218" s="348">
        <f>AC218/X218</f>
        <v>1</v>
      </c>
    </row>
    <row r="219" spans="1:34" s="346" customFormat="1" ht="31.5">
      <c r="A219" s="334">
        <v>37</v>
      </c>
      <c r="B219" s="335" t="s">
        <v>162</v>
      </c>
      <c r="C219" s="334"/>
      <c r="D219" s="334"/>
      <c r="E219" s="357"/>
      <c r="F219" s="357"/>
      <c r="G219" s="345"/>
      <c r="H219" s="345"/>
      <c r="I219" s="345"/>
      <c r="J219" s="345"/>
      <c r="K219" s="345"/>
      <c r="L219" s="345"/>
      <c r="M219" s="345"/>
      <c r="N219" s="345"/>
      <c r="O219" s="345"/>
      <c r="P219" s="345"/>
      <c r="Q219" s="345"/>
      <c r="R219" s="345"/>
      <c r="S219" s="345"/>
      <c r="T219" s="345"/>
      <c r="U219" s="345"/>
      <c r="V219" s="345"/>
      <c r="W219" s="345"/>
      <c r="X219" s="345"/>
      <c r="Y219" s="345"/>
      <c r="Z219" s="345"/>
      <c r="AA219" s="345"/>
      <c r="AB219" s="345"/>
      <c r="AC219" s="345"/>
      <c r="AD219" s="348"/>
      <c r="AE219" s="348"/>
      <c r="AF219" s="348"/>
      <c r="AG219" s="348"/>
      <c r="AH219" s="348"/>
    </row>
    <row r="220" spans="1:34" ht="31.5">
      <c r="A220" s="347" t="s">
        <v>23</v>
      </c>
      <c r="B220" s="337" t="s">
        <v>589</v>
      </c>
      <c r="C220" s="347" t="s">
        <v>287</v>
      </c>
      <c r="D220" s="347"/>
      <c r="E220" s="369" t="s">
        <v>447</v>
      </c>
      <c r="F220" s="369" t="s">
        <v>590</v>
      </c>
      <c r="G220" s="113">
        <v>28703</v>
      </c>
      <c r="H220" s="113"/>
      <c r="I220" s="113"/>
      <c r="J220" s="113"/>
      <c r="K220" s="113">
        <v>28703</v>
      </c>
      <c r="L220" s="113">
        <v>27822</v>
      </c>
      <c r="M220" s="113"/>
      <c r="N220" s="113"/>
      <c r="O220" s="113">
        <v>27822</v>
      </c>
      <c r="P220" s="113">
        <v>27822</v>
      </c>
      <c r="Q220" s="113"/>
      <c r="R220" s="113"/>
      <c r="S220" s="113">
        <v>27822</v>
      </c>
      <c r="T220" s="113">
        <v>533</v>
      </c>
      <c r="U220" s="113"/>
      <c r="V220" s="113"/>
      <c r="W220" s="113"/>
      <c r="X220" s="113">
        <v>533</v>
      </c>
      <c r="Y220" s="113">
        <v>533</v>
      </c>
      <c r="Z220" s="113"/>
      <c r="AA220" s="113"/>
      <c r="AB220" s="113"/>
      <c r="AC220" s="113">
        <v>533</v>
      </c>
      <c r="AD220" s="348">
        <f t="shared" si="12"/>
        <v>1</v>
      </c>
      <c r="AE220" s="348"/>
      <c r="AF220" s="348"/>
      <c r="AG220" s="348"/>
      <c r="AH220" s="348">
        <f>AC220/X220</f>
        <v>1</v>
      </c>
    </row>
    <row r="221" spans="1:34" ht="47.25">
      <c r="A221" s="347" t="s">
        <v>23</v>
      </c>
      <c r="B221" s="337" t="s">
        <v>591</v>
      </c>
      <c r="C221" s="347" t="s">
        <v>592</v>
      </c>
      <c r="D221" s="347"/>
      <c r="E221" s="369">
        <v>2006</v>
      </c>
      <c r="F221" s="369" t="s">
        <v>593</v>
      </c>
      <c r="G221" s="113">
        <v>113861</v>
      </c>
      <c r="H221" s="113"/>
      <c r="I221" s="113"/>
      <c r="J221" s="113"/>
      <c r="K221" s="113">
        <v>113861</v>
      </c>
      <c r="L221" s="113">
        <v>79996</v>
      </c>
      <c r="M221" s="113"/>
      <c r="N221" s="113"/>
      <c r="O221" s="113">
        <v>79996</v>
      </c>
      <c r="P221" s="113">
        <v>66274</v>
      </c>
      <c r="Q221" s="113"/>
      <c r="R221" s="113"/>
      <c r="S221" s="113">
        <v>66274</v>
      </c>
      <c r="T221" s="113">
        <v>18666.834647</v>
      </c>
      <c r="U221" s="113"/>
      <c r="V221" s="113"/>
      <c r="W221" s="113"/>
      <c r="X221" s="113">
        <v>18666.834647</v>
      </c>
      <c r="Y221" s="113">
        <v>16664.191277999998</v>
      </c>
      <c r="Z221" s="113"/>
      <c r="AA221" s="113"/>
      <c r="AB221" s="113"/>
      <c r="AC221" s="113">
        <v>16664.191277999998</v>
      </c>
      <c r="AD221" s="348">
        <f t="shared" si="12"/>
        <v>0.89271649924204732</v>
      </c>
      <c r="AE221" s="348"/>
      <c r="AF221" s="348"/>
      <c r="AG221" s="348"/>
      <c r="AH221" s="348">
        <f>AC221/X221</f>
        <v>0.89271649924204732</v>
      </c>
    </row>
    <row r="222" spans="1:34" ht="31.5">
      <c r="A222" s="347" t="s">
        <v>23</v>
      </c>
      <c r="B222" s="337" t="s">
        <v>594</v>
      </c>
      <c r="C222" s="347" t="s">
        <v>595</v>
      </c>
      <c r="D222" s="347"/>
      <c r="E222" s="369" t="s">
        <v>239</v>
      </c>
      <c r="F222" s="369" t="s">
        <v>596</v>
      </c>
      <c r="G222" s="113">
        <v>20744</v>
      </c>
      <c r="H222" s="113"/>
      <c r="I222" s="113"/>
      <c r="J222" s="113"/>
      <c r="K222" s="113">
        <v>20744</v>
      </c>
      <c r="L222" s="113">
        <v>18630</v>
      </c>
      <c r="M222" s="113"/>
      <c r="N222" s="113"/>
      <c r="O222" s="113">
        <v>18630</v>
      </c>
      <c r="P222" s="113">
        <v>17095</v>
      </c>
      <c r="Q222" s="113"/>
      <c r="R222" s="113"/>
      <c r="S222" s="113">
        <v>17095</v>
      </c>
      <c r="T222" s="113">
        <v>2453</v>
      </c>
      <c r="U222" s="113"/>
      <c r="V222" s="113"/>
      <c r="W222" s="113"/>
      <c r="X222" s="113">
        <v>2453</v>
      </c>
      <c r="Y222" s="113">
        <v>2453</v>
      </c>
      <c r="Z222" s="113"/>
      <c r="AA222" s="113"/>
      <c r="AB222" s="113"/>
      <c r="AC222" s="113">
        <v>2453</v>
      </c>
      <c r="AD222" s="348">
        <f t="shared" si="12"/>
        <v>1</v>
      </c>
      <c r="AE222" s="348"/>
      <c r="AF222" s="348"/>
      <c r="AG222" s="348"/>
      <c r="AH222" s="348">
        <f>AC222/X222</f>
        <v>1</v>
      </c>
    </row>
    <row r="223" spans="1:34" ht="47.25">
      <c r="A223" s="347" t="s">
        <v>23</v>
      </c>
      <c r="B223" s="337" t="s">
        <v>597</v>
      </c>
      <c r="C223" s="347" t="s">
        <v>217</v>
      </c>
      <c r="D223" s="347"/>
      <c r="E223" s="369" t="s">
        <v>378</v>
      </c>
      <c r="F223" s="369" t="s">
        <v>598</v>
      </c>
      <c r="G223" s="113">
        <v>11757</v>
      </c>
      <c r="H223" s="113"/>
      <c r="I223" s="113"/>
      <c r="J223" s="113"/>
      <c r="K223" s="113">
        <v>11757</v>
      </c>
      <c r="L223" s="113">
        <v>11474</v>
      </c>
      <c r="M223" s="113"/>
      <c r="N223" s="113"/>
      <c r="O223" s="113">
        <v>11474</v>
      </c>
      <c r="P223" s="113">
        <v>11474</v>
      </c>
      <c r="Q223" s="113"/>
      <c r="R223" s="113"/>
      <c r="S223" s="113">
        <v>11474</v>
      </c>
      <c r="T223" s="113">
        <v>1006.89</v>
      </c>
      <c r="U223" s="113"/>
      <c r="V223" s="113"/>
      <c r="W223" s="113"/>
      <c r="X223" s="113">
        <v>1006.89</v>
      </c>
      <c r="Y223" s="113">
        <v>901.23299999999995</v>
      </c>
      <c r="Z223" s="113"/>
      <c r="AA223" s="113"/>
      <c r="AB223" s="113"/>
      <c r="AC223" s="113">
        <v>901.23299999999995</v>
      </c>
      <c r="AD223" s="348">
        <f t="shared" si="12"/>
        <v>0.89506599529243513</v>
      </c>
      <c r="AE223" s="348"/>
      <c r="AF223" s="348"/>
      <c r="AG223" s="348"/>
      <c r="AH223" s="348">
        <f>AC223/X223</f>
        <v>0.89506599529243513</v>
      </c>
    </row>
    <row r="224" spans="1:34" ht="31.5">
      <c r="A224" s="347" t="s">
        <v>23</v>
      </c>
      <c r="B224" s="337" t="s">
        <v>599</v>
      </c>
      <c r="C224" s="347" t="s">
        <v>600</v>
      </c>
      <c r="D224" s="347"/>
      <c r="E224" s="369" t="s">
        <v>218</v>
      </c>
      <c r="F224" s="369" t="s">
        <v>601</v>
      </c>
      <c r="G224" s="113">
        <v>48218</v>
      </c>
      <c r="H224" s="113"/>
      <c r="I224" s="113"/>
      <c r="J224" s="113"/>
      <c r="K224" s="113">
        <v>20000</v>
      </c>
      <c r="L224" s="113">
        <v>820</v>
      </c>
      <c r="M224" s="113"/>
      <c r="N224" s="113"/>
      <c r="O224" s="113">
        <v>820</v>
      </c>
      <c r="P224" s="113">
        <v>360</v>
      </c>
      <c r="Q224" s="113"/>
      <c r="R224" s="113"/>
      <c r="S224" s="113">
        <v>360</v>
      </c>
      <c r="T224" s="113">
        <v>360.45899999999983</v>
      </c>
      <c r="U224" s="113"/>
      <c r="V224" s="113"/>
      <c r="W224" s="113"/>
      <c r="X224" s="113">
        <v>360.45899999999983</v>
      </c>
      <c r="Y224" s="113">
        <v>360.45899999999983</v>
      </c>
      <c r="Z224" s="113"/>
      <c r="AA224" s="113"/>
      <c r="AB224" s="113"/>
      <c r="AC224" s="113">
        <v>360.45899999999983</v>
      </c>
      <c r="AD224" s="348">
        <f t="shared" si="12"/>
        <v>1</v>
      </c>
      <c r="AE224" s="348"/>
      <c r="AF224" s="348"/>
      <c r="AG224" s="348"/>
      <c r="AH224" s="348">
        <f>AC224/X224</f>
        <v>1</v>
      </c>
    </row>
    <row r="225" spans="1:34" s="346" customFormat="1" ht="31.5">
      <c r="A225" s="334">
        <v>38</v>
      </c>
      <c r="B225" s="335" t="s">
        <v>163</v>
      </c>
      <c r="C225" s="334"/>
      <c r="D225" s="334"/>
      <c r="E225" s="357"/>
      <c r="F225" s="357"/>
      <c r="G225" s="345"/>
      <c r="H225" s="345"/>
      <c r="I225" s="345"/>
      <c r="J225" s="345"/>
      <c r="K225" s="345"/>
      <c r="L225" s="345"/>
      <c r="M225" s="345"/>
      <c r="N225" s="345"/>
      <c r="O225" s="345"/>
      <c r="P225" s="345"/>
      <c r="Q225" s="345"/>
      <c r="R225" s="345"/>
      <c r="S225" s="345"/>
      <c r="T225" s="345"/>
      <c r="U225" s="345"/>
      <c r="V225" s="345"/>
      <c r="W225" s="345"/>
      <c r="X225" s="345"/>
      <c r="Y225" s="345"/>
      <c r="Z225" s="345"/>
      <c r="AA225" s="345"/>
      <c r="AB225" s="345"/>
      <c r="AC225" s="345"/>
      <c r="AD225" s="348"/>
      <c r="AE225" s="348"/>
      <c r="AF225" s="348"/>
      <c r="AG225" s="348"/>
      <c r="AH225" s="348"/>
    </row>
    <row r="226" spans="1:34" ht="31.5">
      <c r="A226" s="347" t="s">
        <v>23</v>
      </c>
      <c r="B226" s="337" t="s">
        <v>602</v>
      </c>
      <c r="C226" s="347"/>
      <c r="D226" s="347"/>
      <c r="E226" s="369"/>
      <c r="F226" s="369"/>
      <c r="G226" s="113"/>
      <c r="H226" s="113"/>
      <c r="I226" s="113"/>
      <c r="J226" s="113"/>
      <c r="K226" s="113"/>
      <c r="L226" s="113"/>
      <c r="M226" s="113"/>
      <c r="N226" s="113"/>
      <c r="O226" s="113"/>
      <c r="P226" s="113"/>
      <c r="Q226" s="113"/>
      <c r="R226" s="113"/>
      <c r="S226" s="113"/>
      <c r="T226" s="113">
        <v>29000</v>
      </c>
      <c r="U226" s="113"/>
      <c r="V226" s="113"/>
      <c r="W226" s="113"/>
      <c r="X226" s="113">
        <v>29000</v>
      </c>
      <c r="Y226" s="113">
        <v>29000</v>
      </c>
      <c r="Z226" s="113"/>
      <c r="AA226" s="113">
        <v>29000</v>
      </c>
      <c r="AB226" s="113"/>
      <c r="AC226" s="113"/>
      <c r="AD226" s="348">
        <f t="shared" si="12"/>
        <v>1</v>
      </c>
      <c r="AE226" s="348"/>
      <c r="AF226" s="348"/>
      <c r="AG226" s="348"/>
      <c r="AH226" s="348">
        <f>AC226/X226</f>
        <v>0</v>
      </c>
    </row>
    <row r="227" spans="1:34" s="346" customFormat="1" ht="31.5">
      <c r="A227" s="334">
        <v>39</v>
      </c>
      <c r="B227" s="335" t="s">
        <v>164</v>
      </c>
      <c r="C227" s="334"/>
      <c r="D227" s="334"/>
      <c r="E227" s="357"/>
      <c r="F227" s="357"/>
      <c r="G227" s="345"/>
      <c r="H227" s="345"/>
      <c r="I227" s="345"/>
      <c r="J227" s="345"/>
      <c r="K227" s="345"/>
      <c r="L227" s="345"/>
      <c r="M227" s="345"/>
      <c r="N227" s="345"/>
      <c r="O227" s="345"/>
      <c r="P227" s="345"/>
      <c r="Q227" s="345"/>
      <c r="R227" s="345"/>
      <c r="S227" s="345"/>
      <c r="T227" s="345"/>
      <c r="U227" s="345"/>
      <c r="V227" s="345"/>
      <c r="W227" s="345"/>
      <c r="X227" s="345"/>
      <c r="Y227" s="345"/>
      <c r="Z227" s="345"/>
      <c r="AA227" s="345"/>
      <c r="AB227" s="345"/>
      <c r="AC227" s="345"/>
      <c r="AD227" s="348"/>
      <c r="AE227" s="348"/>
      <c r="AF227" s="348"/>
      <c r="AG227" s="348"/>
      <c r="AH227" s="348"/>
    </row>
    <row r="228" spans="1:34" ht="63">
      <c r="A228" s="347" t="s">
        <v>23</v>
      </c>
      <c r="B228" s="337" t="s">
        <v>603</v>
      </c>
      <c r="C228" s="347" t="s">
        <v>427</v>
      </c>
      <c r="D228" s="347"/>
      <c r="E228" s="369" t="s">
        <v>378</v>
      </c>
      <c r="F228" s="369" t="s">
        <v>604</v>
      </c>
      <c r="G228" s="113">
        <v>9541</v>
      </c>
      <c r="H228" s="113"/>
      <c r="I228" s="113"/>
      <c r="J228" s="113"/>
      <c r="K228" s="113">
        <v>9541</v>
      </c>
      <c r="L228" s="113">
        <v>7421</v>
      </c>
      <c r="M228" s="113"/>
      <c r="N228" s="113"/>
      <c r="O228" s="113">
        <v>7421</v>
      </c>
      <c r="P228" s="113">
        <v>7421</v>
      </c>
      <c r="Q228" s="113"/>
      <c r="R228" s="113"/>
      <c r="S228" s="113">
        <v>7421</v>
      </c>
      <c r="T228" s="113">
        <v>595.78499999999997</v>
      </c>
      <c r="U228" s="113"/>
      <c r="V228" s="113"/>
      <c r="W228" s="113"/>
      <c r="X228" s="113">
        <v>595.78499999999997</v>
      </c>
      <c r="Y228" s="113">
        <v>595.78499999999997</v>
      </c>
      <c r="Z228" s="113"/>
      <c r="AA228" s="113"/>
      <c r="AB228" s="113"/>
      <c r="AC228" s="113">
        <v>595.78499999999997</v>
      </c>
      <c r="AD228" s="348">
        <f t="shared" si="12"/>
        <v>1</v>
      </c>
      <c r="AE228" s="348"/>
      <c r="AF228" s="348"/>
      <c r="AG228" s="348"/>
      <c r="AH228" s="348">
        <f>AC228/X228</f>
        <v>1</v>
      </c>
    </row>
    <row r="229" spans="1:34" ht="31.5">
      <c r="A229" s="347" t="s">
        <v>23</v>
      </c>
      <c r="B229" s="337" t="s">
        <v>605</v>
      </c>
      <c r="C229" s="347" t="s">
        <v>265</v>
      </c>
      <c r="D229" s="347"/>
      <c r="E229" s="369" t="s">
        <v>218</v>
      </c>
      <c r="F229" s="369" t="s">
        <v>606</v>
      </c>
      <c r="G229" s="113">
        <v>10351</v>
      </c>
      <c r="H229" s="113"/>
      <c r="I229" s="113"/>
      <c r="J229" s="113"/>
      <c r="K229" s="113">
        <v>10351</v>
      </c>
      <c r="L229" s="113">
        <v>9211</v>
      </c>
      <c r="M229" s="113"/>
      <c r="N229" s="113"/>
      <c r="O229" s="113">
        <v>9211</v>
      </c>
      <c r="P229" s="113">
        <v>8000</v>
      </c>
      <c r="Q229" s="113"/>
      <c r="R229" s="113"/>
      <c r="S229" s="113">
        <v>8000</v>
      </c>
      <c r="T229" s="113">
        <v>4945.6570000000002</v>
      </c>
      <c r="U229" s="113"/>
      <c r="V229" s="113"/>
      <c r="W229" s="113"/>
      <c r="X229" s="113">
        <v>4945.6570000000002</v>
      </c>
      <c r="Y229" s="113">
        <v>4945.6570000000002</v>
      </c>
      <c r="Z229" s="113"/>
      <c r="AA229" s="113"/>
      <c r="AB229" s="113"/>
      <c r="AC229" s="113">
        <v>4945.6570000000002</v>
      </c>
      <c r="AD229" s="348">
        <f t="shared" si="12"/>
        <v>1</v>
      </c>
      <c r="AE229" s="348"/>
      <c r="AF229" s="348"/>
      <c r="AG229" s="348"/>
      <c r="AH229" s="348">
        <f>AC229/X229</f>
        <v>1</v>
      </c>
    </row>
    <row r="230" spans="1:34" s="346" customFormat="1" ht="31.5">
      <c r="A230" s="334">
        <v>40</v>
      </c>
      <c r="B230" s="335" t="s">
        <v>165</v>
      </c>
      <c r="C230" s="334"/>
      <c r="D230" s="334"/>
      <c r="E230" s="357"/>
      <c r="F230" s="357"/>
      <c r="G230" s="345"/>
      <c r="H230" s="345"/>
      <c r="I230" s="345"/>
      <c r="J230" s="345"/>
      <c r="K230" s="345"/>
      <c r="L230" s="345"/>
      <c r="M230" s="345"/>
      <c r="N230" s="345"/>
      <c r="O230" s="345"/>
      <c r="P230" s="345"/>
      <c r="Q230" s="345"/>
      <c r="R230" s="345"/>
      <c r="S230" s="345"/>
      <c r="T230" s="345"/>
      <c r="U230" s="345"/>
      <c r="V230" s="345"/>
      <c r="W230" s="345"/>
      <c r="X230" s="345"/>
      <c r="Y230" s="345"/>
      <c r="Z230" s="345"/>
      <c r="AA230" s="345"/>
      <c r="AB230" s="345"/>
      <c r="AC230" s="345"/>
      <c r="AD230" s="348"/>
      <c r="AE230" s="348"/>
      <c r="AF230" s="348"/>
      <c r="AG230" s="348"/>
      <c r="AH230" s="348"/>
    </row>
    <row r="231" spans="1:34" ht="31.5">
      <c r="A231" s="347" t="s">
        <v>23</v>
      </c>
      <c r="B231" s="337" t="s">
        <v>607</v>
      </c>
      <c r="C231" s="347"/>
      <c r="D231" s="347"/>
      <c r="E231" s="369"/>
      <c r="F231" s="369"/>
      <c r="G231" s="113"/>
      <c r="H231" s="113"/>
      <c r="I231" s="113"/>
      <c r="J231" s="113"/>
      <c r="K231" s="113"/>
      <c r="L231" s="113"/>
      <c r="M231" s="113"/>
      <c r="N231" s="113"/>
      <c r="O231" s="113"/>
      <c r="P231" s="113"/>
      <c r="Q231" s="113"/>
      <c r="R231" s="113"/>
      <c r="S231" s="113"/>
      <c r="T231" s="113">
        <v>58522.994038999997</v>
      </c>
      <c r="U231" s="113"/>
      <c r="V231" s="113"/>
      <c r="W231" s="113"/>
      <c r="X231" s="113">
        <v>58522.994038999997</v>
      </c>
      <c r="Y231" s="113">
        <v>58522.994038999997</v>
      </c>
      <c r="Z231" s="113"/>
      <c r="AA231" s="113"/>
      <c r="AB231" s="113"/>
      <c r="AC231" s="113">
        <v>58522.994038999997</v>
      </c>
      <c r="AD231" s="348">
        <f t="shared" si="12"/>
        <v>1</v>
      </c>
      <c r="AE231" s="348"/>
      <c r="AF231" s="348"/>
      <c r="AG231" s="348"/>
      <c r="AH231" s="348">
        <f>AC231/X231</f>
        <v>1</v>
      </c>
    </row>
    <row r="232" spans="1:34" s="346" customFormat="1" ht="31.5">
      <c r="A232" s="334">
        <v>41</v>
      </c>
      <c r="B232" s="335" t="s">
        <v>166</v>
      </c>
      <c r="C232" s="334"/>
      <c r="D232" s="334"/>
      <c r="E232" s="357"/>
      <c r="F232" s="357"/>
      <c r="G232" s="345"/>
      <c r="H232" s="345"/>
      <c r="I232" s="345"/>
      <c r="J232" s="345"/>
      <c r="K232" s="345"/>
      <c r="L232" s="345"/>
      <c r="M232" s="345"/>
      <c r="N232" s="345"/>
      <c r="O232" s="345"/>
      <c r="P232" s="345"/>
      <c r="Q232" s="345"/>
      <c r="R232" s="345"/>
      <c r="S232" s="345"/>
      <c r="T232" s="345"/>
      <c r="U232" s="345"/>
      <c r="V232" s="345"/>
      <c r="W232" s="345"/>
      <c r="X232" s="345"/>
      <c r="Y232" s="345"/>
      <c r="Z232" s="345"/>
      <c r="AA232" s="345"/>
      <c r="AB232" s="345"/>
      <c r="AC232" s="345"/>
      <c r="AD232" s="348"/>
      <c r="AE232" s="348"/>
      <c r="AF232" s="348"/>
      <c r="AG232" s="348"/>
      <c r="AH232" s="348"/>
    </row>
    <row r="233" spans="1:34" ht="31.5">
      <c r="A233" s="347" t="s">
        <v>23</v>
      </c>
      <c r="B233" s="337" t="s">
        <v>608</v>
      </c>
      <c r="C233" s="347"/>
      <c r="D233" s="347"/>
      <c r="E233" s="369"/>
      <c r="F233" s="369"/>
      <c r="G233" s="113"/>
      <c r="H233" s="113"/>
      <c r="I233" s="113"/>
      <c r="J233" s="113"/>
      <c r="K233" s="113"/>
      <c r="L233" s="113"/>
      <c r="M233" s="113"/>
      <c r="N233" s="113"/>
      <c r="O233" s="113"/>
      <c r="P233" s="113"/>
      <c r="Q233" s="113"/>
      <c r="R233" s="113"/>
      <c r="S233" s="113"/>
      <c r="T233" s="113">
        <v>1292.342541</v>
      </c>
      <c r="U233" s="113"/>
      <c r="V233" s="113"/>
      <c r="W233" s="113"/>
      <c r="X233" s="113">
        <v>1292.342541</v>
      </c>
      <c r="Y233" s="113">
        <v>0</v>
      </c>
      <c r="Z233" s="113"/>
      <c r="AA233" s="113"/>
      <c r="AB233" s="113"/>
      <c r="AC233" s="113"/>
      <c r="AD233" s="348">
        <f t="shared" si="12"/>
        <v>0</v>
      </c>
      <c r="AE233" s="348"/>
      <c r="AF233" s="348"/>
      <c r="AG233" s="348"/>
      <c r="AH233" s="348">
        <f>AC233/X233</f>
        <v>0</v>
      </c>
    </row>
    <row r="234" spans="1:34" ht="31.5">
      <c r="A234" s="347" t="s">
        <v>23</v>
      </c>
      <c r="B234" s="337" t="s">
        <v>609</v>
      </c>
      <c r="C234" s="347"/>
      <c r="D234" s="347"/>
      <c r="E234" s="369"/>
      <c r="F234" s="369"/>
      <c r="G234" s="113"/>
      <c r="H234" s="113"/>
      <c r="I234" s="113"/>
      <c r="J234" s="113"/>
      <c r="K234" s="113"/>
      <c r="L234" s="113"/>
      <c r="M234" s="113"/>
      <c r="N234" s="113"/>
      <c r="O234" s="113"/>
      <c r="P234" s="113"/>
      <c r="Q234" s="113"/>
      <c r="R234" s="113"/>
      <c r="S234" s="113"/>
      <c r="T234" s="113">
        <v>851.45</v>
      </c>
      <c r="U234" s="113"/>
      <c r="V234" s="113"/>
      <c r="W234" s="113"/>
      <c r="X234" s="113">
        <v>851.45</v>
      </c>
      <c r="Y234" s="113">
        <v>0</v>
      </c>
      <c r="Z234" s="113"/>
      <c r="AA234" s="113"/>
      <c r="AB234" s="113"/>
      <c r="AC234" s="113"/>
      <c r="AD234" s="348">
        <f t="shared" si="12"/>
        <v>0</v>
      </c>
      <c r="AE234" s="348"/>
      <c r="AF234" s="348"/>
      <c r="AG234" s="348"/>
      <c r="AH234" s="348">
        <f>AC234/X234</f>
        <v>0</v>
      </c>
    </row>
    <row r="235" spans="1:34" s="346" customFormat="1" ht="31.5">
      <c r="A235" s="334">
        <v>42</v>
      </c>
      <c r="B235" s="335" t="s">
        <v>167</v>
      </c>
      <c r="C235" s="334"/>
      <c r="D235" s="334"/>
      <c r="E235" s="357"/>
      <c r="F235" s="357"/>
      <c r="G235" s="345"/>
      <c r="H235" s="345"/>
      <c r="I235" s="345"/>
      <c r="J235" s="345"/>
      <c r="K235" s="345"/>
      <c r="L235" s="345"/>
      <c r="M235" s="345"/>
      <c r="N235" s="345"/>
      <c r="O235" s="345"/>
      <c r="P235" s="345"/>
      <c r="Q235" s="345"/>
      <c r="R235" s="345"/>
      <c r="S235" s="345"/>
      <c r="T235" s="345"/>
      <c r="U235" s="345"/>
      <c r="V235" s="345"/>
      <c r="W235" s="345"/>
      <c r="X235" s="345"/>
      <c r="Y235" s="345"/>
      <c r="Z235" s="345"/>
      <c r="AA235" s="345"/>
      <c r="AB235" s="345"/>
      <c r="AC235" s="345"/>
      <c r="AD235" s="348"/>
      <c r="AE235" s="348"/>
      <c r="AF235" s="348"/>
      <c r="AG235" s="348"/>
      <c r="AH235" s="348"/>
    </row>
    <row r="236" spans="1:34" ht="31.5">
      <c r="A236" s="347" t="s">
        <v>23</v>
      </c>
      <c r="B236" s="337" t="s">
        <v>610</v>
      </c>
      <c r="C236" s="347"/>
      <c r="D236" s="347"/>
      <c r="E236" s="369"/>
      <c r="F236" s="369"/>
      <c r="G236" s="113">
        <v>5994</v>
      </c>
      <c r="H236" s="113"/>
      <c r="I236" s="113"/>
      <c r="J236" s="113"/>
      <c r="K236" s="113">
        <v>5994</v>
      </c>
      <c r="L236" s="113"/>
      <c r="M236" s="113"/>
      <c r="N236" s="113"/>
      <c r="O236" s="113"/>
      <c r="P236" s="113"/>
      <c r="Q236" s="113"/>
      <c r="R236" s="113"/>
      <c r="S236" s="113"/>
      <c r="T236" s="113">
        <v>5000</v>
      </c>
      <c r="U236" s="113"/>
      <c r="V236" s="113"/>
      <c r="W236" s="113"/>
      <c r="X236" s="113">
        <v>5000</v>
      </c>
      <c r="Y236" s="113">
        <v>1313.0029999999999</v>
      </c>
      <c r="Z236" s="113"/>
      <c r="AA236" s="113"/>
      <c r="AB236" s="113"/>
      <c r="AC236" s="113">
        <v>1313.0029999999999</v>
      </c>
      <c r="AD236" s="348">
        <f t="shared" si="12"/>
        <v>0.26260059999999996</v>
      </c>
      <c r="AE236" s="348"/>
      <c r="AF236" s="348"/>
      <c r="AG236" s="348"/>
      <c r="AH236" s="348">
        <f>AC236/X236</f>
        <v>0.26260059999999996</v>
      </c>
    </row>
    <row r="237" spans="1:34" s="346" customFormat="1">
      <c r="A237" s="334">
        <v>43</v>
      </c>
      <c r="B237" s="335" t="s">
        <v>168</v>
      </c>
      <c r="C237" s="334"/>
      <c r="D237" s="334"/>
      <c r="E237" s="357"/>
      <c r="F237" s="357"/>
      <c r="G237" s="345"/>
      <c r="H237" s="345"/>
      <c r="I237" s="345"/>
      <c r="J237" s="345"/>
      <c r="K237" s="345"/>
      <c r="L237" s="345"/>
      <c r="M237" s="345"/>
      <c r="N237" s="345"/>
      <c r="O237" s="345"/>
      <c r="P237" s="345"/>
      <c r="Q237" s="345"/>
      <c r="R237" s="345"/>
      <c r="S237" s="345"/>
      <c r="T237" s="345"/>
      <c r="U237" s="345"/>
      <c r="V237" s="345"/>
      <c r="W237" s="345"/>
      <c r="X237" s="345"/>
      <c r="Y237" s="345"/>
      <c r="Z237" s="345"/>
      <c r="AA237" s="345"/>
      <c r="AB237" s="345"/>
      <c r="AC237" s="345"/>
      <c r="AD237" s="348"/>
      <c r="AE237" s="348"/>
      <c r="AF237" s="348"/>
      <c r="AG237" s="348"/>
      <c r="AH237" s="348"/>
    </row>
    <row r="238" spans="1:34" ht="45">
      <c r="A238" s="347" t="s">
        <v>23</v>
      </c>
      <c r="B238" s="337" t="s">
        <v>611</v>
      </c>
      <c r="C238" s="347" t="s">
        <v>251</v>
      </c>
      <c r="D238" s="347"/>
      <c r="E238" s="369" t="s">
        <v>369</v>
      </c>
      <c r="F238" s="369" t="s">
        <v>612</v>
      </c>
      <c r="G238" s="113">
        <v>3128.703</v>
      </c>
      <c r="H238" s="113"/>
      <c r="I238" s="113"/>
      <c r="J238" s="113"/>
      <c r="K238" s="113">
        <v>3128.703</v>
      </c>
      <c r="L238" s="113">
        <v>2805</v>
      </c>
      <c r="M238" s="113"/>
      <c r="N238" s="113"/>
      <c r="O238" s="113">
        <v>2805</v>
      </c>
      <c r="P238" s="113">
        <v>2303.0349999999999</v>
      </c>
      <c r="Q238" s="113"/>
      <c r="R238" s="113"/>
      <c r="S238" s="113">
        <v>2303.0349999999999</v>
      </c>
      <c r="T238" s="113">
        <v>500</v>
      </c>
      <c r="U238" s="113"/>
      <c r="V238" s="113"/>
      <c r="W238" s="113"/>
      <c r="X238" s="113">
        <v>500</v>
      </c>
      <c r="Y238" s="113">
        <v>400</v>
      </c>
      <c r="Z238" s="113"/>
      <c r="AA238" s="113"/>
      <c r="AB238" s="113"/>
      <c r="AC238" s="113">
        <v>400</v>
      </c>
      <c r="AD238" s="348">
        <f t="shared" si="12"/>
        <v>0.8</v>
      </c>
      <c r="AE238" s="348"/>
      <c r="AF238" s="348"/>
      <c r="AG238" s="348"/>
      <c r="AH238" s="348">
        <f>AC238/X238</f>
        <v>0.8</v>
      </c>
    </row>
    <row r="239" spans="1:34" ht="47.25">
      <c r="A239" s="347" t="s">
        <v>23</v>
      </c>
      <c r="B239" s="337" t="s">
        <v>613</v>
      </c>
      <c r="C239" s="347" t="s">
        <v>396</v>
      </c>
      <c r="D239" s="347"/>
      <c r="E239" s="369" t="s">
        <v>276</v>
      </c>
      <c r="F239" s="369" t="s">
        <v>614</v>
      </c>
      <c r="G239" s="113">
        <v>60948.472999999998</v>
      </c>
      <c r="H239" s="113"/>
      <c r="I239" s="113">
        <v>35000</v>
      </c>
      <c r="J239" s="113"/>
      <c r="K239" s="113">
        <v>25948.473000000002</v>
      </c>
      <c r="L239" s="113">
        <v>15520.619000000001</v>
      </c>
      <c r="M239" s="113"/>
      <c r="N239" s="113">
        <v>15002</v>
      </c>
      <c r="O239" s="113">
        <v>518.61900000000003</v>
      </c>
      <c r="P239" s="113">
        <v>15518.619000000001</v>
      </c>
      <c r="Q239" s="113"/>
      <c r="R239" s="113">
        <v>15000</v>
      </c>
      <c r="S239" s="113">
        <v>518.61900000000003</v>
      </c>
      <c r="T239" s="113">
        <v>11150</v>
      </c>
      <c r="U239" s="113"/>
      <c r="V239" s="113"/>
      <c r="W239" s="113"/>
      <c r="X239" s="113">
        <v>11150</v>
      </c>
      <c r="Y239" s="113">
        <v>10813.663</v>
      </c>
      <c r="Z239" s="113"/>
      <c r="AA239" s="113">
        <v>10650</v>
      </c>
      <c r="AB239" s="113"/>
      <c r="AC239" s="113">
        <v>163.66300000000047</v>
      </c>
      <c r="AD239" s="348">
        <f t="shared" si="12"/>
        <v>0.96983524663677134</v>
      </c>
      <c r="AE239" s="348"/>
      <c r="AF239" s="348"/>
      <c r="AG239" s="348"/>
      <c r="AH239" s="348">
        <f>AC239/X239</f>
        <v>1.4678295964125601E-2</v>
      </c>
    </row>
    <row r="240" spans="1:34" s="346" customFormat="1">
      <c r="A240" s="334">
        <v>44</v>
      </c>
      <c r="B240" s="335" t="s">
        <v>169</v>
      </c>
      <c r="C240" s="334"/>
      <c r="D240" s="334"/>
      <c r="E240" s="357"/>
      <c r="F240" s="357"/>
      <c r="G240" s="345"/>
      <c r="H240" s="345"/>
      <c r="I240" s="345"/>
      <c r="J240" s="345"/>
      <c r="K240" s="345"/>
      <c r="L240" s="345"/>
      <c r="M240" s="345"/>
      <c r="N240" s="345"/>
      <c r="O240" s="345"/>
      <c r="P240" s="345"/>
      <c r="Q240" s="345"/>
      <c r="R240" s="345"/>
      <c r="S240" s="345"/>
      <c r="T240" s="345"/>
      <c r="U240" s="345"/>
      <c r="V240" s="345"/>
      <c r="W240" s="345"/>
      <c r="X240" s="345"/>
      <c r="Y240" s="345"/>
      <c r="Z240" s="345"/>
      <c r="AA240" s="345"/>
      <c r="AB240" s="345"/>
      <c r="AC240" s="345"/>
      <c r="AD240" s="348"/>
      <c r="AE240" s="348"/>
      <c r="AF240" s="348"/>
      <c r="AG240" s="348"/>
      <c r="AH240" s="348"/>
    </row>
    <row r="241" spans="1:34" ht="31.5">
      <c r="A241" s="347" t="s">
        <v>23</v>
      </c>
      <c r="B241" s="337" t="s">
        <v>615</v>
      </c>
      <c r="C241" s="347"/>
      <c r="D241" s="347"/>
      <c r="E241" s="369"/>
      <c r="F241" s="369" t="s">
        <v>616</v>
      </c>
      <c r="G241" s="113">
        <v>10109</v>
      </c>
      <c r="H241" s="113"/>
      <c r="I241" s="113"/>
      <c r="J241" s="113"/>
      <c r="K241" s="113">
        <v>10109</v>
      </c>
      <c r="L241" s="113">
        <f>6408+1500</f>
        <v>7908</v>
      </c>
      <c r="M241" s="113"/>
      <c r="N241" s="113"/>
      <c r="O241" s="113">
        <v>7908</v>
      </c>
      <c r="P241" s="113">
        <v>7908</v>
      </c>
      <c r="Q241" s="113"/>
      <c r="R241" s="113"/>
      <c r="S241" s="113">
        <v>7908</v>
      </c>
      <c r="T241" s="113">
        <v>1500</v>
      </c>
      <c r="U241" s="113"/>
      <c r="V241" s="113"/>
      <c r="W241" s="113"/>
      <c r="X241" s="113">
        <v>1500</v>
      </c>
      <c r="Y241" s="113">
        <v>1500</v>
      </c>
      <c r="Z241" s="113"/>
      <c r="AA241" s="113"/>
      <c r="AB241" s="113"/>
      <c r="AC241" s="113">
        <v>1500</v>
      </c>
      <c r="AD241" s="348">
        <f t="shared" si="12"/>
        <v>1</v>
      </c>
      <c r="AE241" s="348"/>
      <c r="AF241" s="348"/>
      <c r="AG241" s="348"/>
      <c r="AH241" s="348">
        <f>AC241/X241</f>
        <v>1</v>
      </c>
    </row>
    <row r="242" spans="1:34" s="346" customFormat="1">
      <c r="A242" s="334">
        <v>45</v>
      </c>
      <c r="B242" s="335" t="s">
        <v>170</v>
      </c>
      <c r="C242" s="334"/>
      <c r="D242" s="334"/>
      <c r="E242" s="357"/>
      <c r="F242" s="357"/>
      <c r="G242" s="345"/>
      <c r="H242" s="345"/>
      <c r="I242" s="345"/>
      <c r="J242" s="345"/>
      <c r="K242" s="345"/>
      <c r="L242" s="345"/>
      <c r="M242" s="345"/>
      <c r="N242" s="345"/>
      <c r="O242" s="345"/>
      <c r="P242" s="345"/>
      <c r="Q242" s="345"/>
      <c r="R242" s="345"/>
      <c r="S242" s="345"/>
      <c r="T242" s="345"/>
      <c r="U242" s="345"/>
      <c r="V242" s="345"/>
      <c r="W242" s="345"/>
      <c r="X242" s="345"/>
      <c r="Y242" s="345"/>
      <c r="Z242" s="345"/>
      <c r="AA242" s="345"/>
      <c r="AB242" s="345"/>
      <c r="AC242" s="345"/>
      <c r="AD242" s="348"/>
      <c r="AE242" s="348"/>
      <c r="AF242" s="348"/>
      <c r="AG242" s="348"/>
      <c r="AH242" s="348"/>
    </row>
    <row r="243" spans="1:34" ht="31.5">
      <c r="A243" s="347" t="s">
        <v>23</v>
      </c>
      <c r="B243" s="337" t="s">
        <v>617</v>
      </c>
      <c r="C243" s="347" t="s">
        <v>298</v>
      </c>
      <c r="D243" s="347"/>
      <c r="E243" s="369" t="s">
        <v>378</v>
      </c>
      <c r="F243" s="369" t="s">
        <v>618</v>
      </c>
      <c r="G243" s="113">
        <v>2582.54</v>
      </c>
      <c r="H243" s="113"/>
      <c r="I243" s="113"/>
      <c r="J243" s="113"/>
      <c r="K243" s="113">
        <v>2582.54</v>
      </c>
      <c r="L243" s="113">
        <v>2080</v>
      </c>
      <c r="M243" s="113"/>
      <c r="N243" s="113"/>
      <c r="O243" s="113">
        <v>2080</v>
      </c>
      <c r="P243" s="113">
        <v>2080.1010000000001</v>
      </c>
      <c r="Q243" s="113"/>
      <c r="R243" s="113"/>
      <c r="S243" s="113">
        <v>2080.1010000000001</v>
      </c>
      <c r="T243" s="113">
        <v>100</v>
      </c>
      <c r="U243" s="113"/>
      <c r="V243" s="113"/>
      <c r="W243" s="113"/>
      <c r="X243" s="113">
        <v>100</v>
      </c>
      <c r="Y243" s="113">
        <v>80.100981000000004</v>
      </c>
      <c r="Z243" s="113"/>
      <c r="AA243" s="113"/>
      <c r="AB243" s="113"/>
      <c r="AC243" s="113">
        <v>80.100981000000004</v>
      </c>
      <c r="AD243" s="348">
        <f t="shared" si="12"/>
        <v>0.80100981000000004</v>
      </c>
      <c r="AE243" s="348"/>
      <c r="AF243" s="348"/>
      <c r="AG243" s="348"/>
      <c r="AH243" s="348">
        <f>AC243/X243</f>
        <v>0.80100981000000004</v>
      </c>
    </row>
    <row r="244" spans="1:34" s="346" customFormat="1">
      <c r="A244" s="334">
        <v>46</v>
      </c>
      <c r="B244" s="335" t="s">
        <v>171</v>
      </c>
      <c r="C244" s="334"/>
      <c r="D244" s="334"/>
      <c r="E244" s="357"/>
      <c r="F244" s="357"/>
      <c r="G244" s="345"/>
      <c r="H244" s="345"/>
      <c r="I244" s="345"/>
      <c r="J244" s="345"/>
      <c r="K244" s="345"/>
      <c r="L244" s="345"/>
      <c r="M244" s="345"/>
      <c r="N244" s="345"/>
      <c r="O244" s="345"/>
      <c r="P244" s="345"/>
      <c r="Q244" s="345"/>
      <c r="R244" s="345"/>
      <c r="S244" s="345"/>
      <c r="T244" s="345"/>
      <c r="U244" s="345"/>
      <c r="V244" s="345"/>
      <c r="W244" s="345"/>
      <c r="X244" s="345"/>
      <c r="Y244" s="345"/>
      <c r="Z244" s="345"/>
      <c r="AA244" s="345"/>
      <c r="AB244" s="345"/>
      <c r="AC244" s="345"/>
      <c r="AD244" s="348"/>
      <c r="AE244" s="348"/>
      <c r="AF244" s="348"/>
      <c r="AG244" s="348"/>
      <c r="AH244" s="348"/>
    </row>
    <row r="245" spans="1:34" ht="47.25">
      <c r="A245" s="347" t="s">
        <v>23</v>
      </c>
      <c r="B245" s="337" t="s">
        <v>619</v>
      </c>
      <c r="C245" s="347" t="s">
        <v>213</v>
      </c>
      <c r="D245" s="347"/>
      <c r="E245" s="369" t="s">
        <v>281</v>
      </c>
      <c r="F245" s="369" t="s">
        <v>620</v>
      </c>
      <c r="G245" s="113">
        <v>14972</v>
      </c>
      <c r="H245" s="113"/>
      <c r="I245" s="113"/>
      <c r="J245" s="113"/>
      <c r="K245" s="113">
        <v>14972</v>
      </c>
      <c r="L245" s="113">
        <v>14573</v>
      </c>
      <c r="M245" s="113"/>
      <c r="N245" s="113"/>
      <c r="O245" s="113">
        <v>14573</v>
      </c>
      <c r="P245" s="113">
        <v>9546</v>
      </c>
      <c r="Q245" s="113"/>
      <c r="R245" s="113"/>
      <c r="S245" s="113">
        <v>9546</v>
      </c>
      <c r="T245" s="113">
        <v>4500</v>
      </c>
      <c r="U245" s="113"/>
      <c r="V245" s="113"/>
      <c r="W245" s="113"/>
      <c r="X245" s="113">
        <v>4500</v>
      </c>
      <c r="Y245" s="113">
        <v>4500</v>
      </c>
      <c r="Z245" s="113"/>
      <c r="AA245" s="113"/>
      <c r="AB245" s="113"/>
      <c r="AC245" s="113">
        <v>4500</v>
      </c>
      <c r="AD245" s="348">
        <f t="shared" si="12"/>
        <v>1</v>
      </c>
      <c r="AE245" s="348"/>
      <c r="AF245" s="348"/>
      <c r="AG245" s="348"/>
      <c r="AH245" s="348">
        <f>AC245/X245</f>
        <v>1</v>
      </c>
    </row>
    <row r="246" spans="1:34" s="346" customFormat="1">
      <c r="A246" s="334">
        <v>47</v>
      </c>
      <c r="B246" s="335" t="s">
        <v>172</v>
      </c>
      <c r="C246" s="334"/>
      <c r="D246" s="334"/>
      <c r="E246" s="357"/>
      <c r="F246" s="357"/>
      <c r="G246" s="345"/>
      <c r="H246" s="345"/>
      <c r="I246" s="345"/>
      <c r="J246" s="345"/>
      <c r="K246" s="345"/>
      <c r="L246" s="345"/>
      <c r="M246" s="345"/>
      <c r="N246" s="345"/>
      <c r="O246" s="345"/>
      <c r="P246" s="345"/>
      <c r="Q246" s="345"/>
      <c r="R246" s="345"/>
      <c r="S246" s="345"/>
      <c r="T246" s="345"/>
      <c r="U246" s="345"/>
      <c r="V246" s="345"/>
      <c r="W246" s="345"/>
      <c r="X246" s="345"/>
      <c r="Y246" s="345"/>
      <c r="Z246" s="345"/>
      <c r="AA246" s="345"/>
      <c r="AB246" s="345"/>
      <c r="AC246" s="345"/>
      <c r="AD246" s="348"/>
      <c r="AE246" s="348"/>
      <c r="AF246" s="348"/>
      <c r="AG246" s="348"/>
      <c r="AH246" s="348"/>
    </row>
    <row r="247" spans="1:34" ht="31.5">
      <c r="A247" s="347" t="s">
        <v>23</v>
      </c>
      <c r="B247" s="337" t="s">
        <v>621</v>
      </c>
      <c r="C247" s="347" t="s">
        <v>622</v>
      </c>
      <c r="D247" s="347"/>
      <c r="E247" s="369"/>
      <c r="F247" s="369" t="s">
        <v>623</v>
      </c>
      <c r="G247" s="113">
        <v>2540</v>
      </c>
      <c r="H247" s="113"/>
      <c r="I247" s="113"/>
      <c r="J247" s="113"/>
      <c r="K247" s="113">
        <v>2540</v>
      </c>
      <c r="L247" s="113">
        <f>2104+281</f>
        <v>2385</v>
      </c>
      <c r="M247" s="113"/>
      <c r="N247" s="113"/>
      <c r="O247" s="113">
        <v>2385</v>
      </c>
      <c r="P247" s="113">
        <v>2385</v>
      </c>
      <c r="Q247" s="113"/>
      <c r="R247" s="113"/>
      <c r="S247" s="113">
        <v>2385</v>
      </c>
      <c r="T247" s="113">
        <v>281</v>
      </c>
      <c r="U247" s="113"/>
      <c r="V247" s="113"/>
      <c r="W247" s="113"/>
      <c r="X247" s="113">
        <v>281</v>
      </c>
      <c r="Y247" s="113">
        <v>274.77499999999998</v>
      </c>
      <c r="Z247" s="113"/>
      <c r="AA247" s="113"/>
      <c r="AB247" s="113"/>
      <c r="AC247" s="113">
        <v>274.77499999999998</v>
      </c>
      <c r="AD247" s="348">
        <f t="shared" si="12"/>
        <v>0.9778469750889679</v>
      </c>
      <c r="AE247" s="348"/>
      <c r="AF247" s="348"/>
      <c r="AG247" s="348"/>
      <c r="AH247" s="348">
        <f>AC247/X247</f>
        <v>0.9778469750889679</v>
      </c>
    </row>
    <row r="248" spans="1:34" s="346" customFormat="1">
      <c r="A248" s="334">
        <v>48</v>
      </c>
      <c r="B248" s="335" t="s">
        <v>173</v>
      </c>
      <c r="C248" s="334"/>
      <c r="D248" s="334"/>
      <c r="E248" s="357"/>
      <c r="F248" s="357"/>
      <c r="G248" s="345"/>
      <c r="H248" s="345"/>
      <c r="I248" s="345"/>
      <c r="J248" s="345"/>
      <c r="K248" s="345"/>
      <c r="L248" s="345"/>
      <c r="M248" s="345"/>
      <c r="N248" s="345"/>
      <c r="O248" s="345"/>
      <c r="P248" s="345"/>
      <c r="Q248" s="345"/>
      <c r="R248" s="345"/>
      <c r="S248" s="345"/>
      <c r="T248" s="345"/>
      <c r="U248" s="345"/>
      <c r="V248" s="345"/>
      <c r="W248" s="345"/>
      <c r="X248" s="345"/>
      <c r="Y248" s="345"/>
      <c r="Z248" s="345"/>
      <c r="AA248" s="345"/>
      <c r="AB248" s="345"/>
      <c r="AC248" s="345"/>
      <c r="AD248" s="348"/>
      <c r="AE248" s="348"/>
      <c r="AF248" s="348"/>
      <c r="AG248" s="348"/>
      <c r="AH248" s="348"/>
    </row>
    <row r="249" spans="1:34" ht="63">
      <c r="A249" s="347" t="s">
        <v>23</v>
      </c>
      <c r="B249" s="337" t="s">
        <v>624</v>
      </c>
      <c r="C249" s="347"/>
      <c r="D249" s="347"/>
      <c r="E249" s="369"/>
      <c r="F249" s="369"/>
      <c r="G249" s="113"/>
      <c r="H249" s="113"/>
      <c r="I249" s="113"/>
      <c r="J249" s="113"/>
      <c r="K249" s="113"/>
      <c r="L249" s="113"/>
      <c r="M249" s="113"/>
      <c r="N249" s="113"/>
      <c r="O249" s="113"/>
      <c r="P249" s="113"/>
      <c r="Q249" s="113"/>
      <c r="R249" s="113"/>
      <c r="S249" s="113"/>
      <c r="T249" s="113">
        <v>205.28543199999999</v>
      </c>
      <c r="U249" s="113"/>
      <c r="V249" s="113"/>
      <c r="W249" s="113"/>
      <c r="X249" s="113">
        <v>205.28543199999999</v>
      </c>
      <c r="Y249" s="113">
        <v>205.28543199999999</v>
      </c>
      <c r="Z249" s="113"/>
      <c r="AA249" s="113"/>
      <c r="AB249" s="113"/>
      <c r="AC249" s="113">
        <v>205.28543199999999</v>
      </c>
      <c r="AD249" s="348">
        <f t="shared" si="12"/>
        <v>1</v>
      </c>
      <c r="AE249" s="348"/>
      <c r="AF249" s="348"/>
      <c r="AG249" s="348"/>
      <c r="AH249" s="348">
        <f>AC249/X249</f>
        <v>1</v>
      </c>
    </row>
    <row r="250" spans="1:34" ht="60">
      <c r="A250" s="347" t="s">
        <v>23</v>
      </c>
      <c r="B250" s="337" t="s">
        <v>625</v>
      </c>
      <c r="C250" s="347" t="s">
        <v>622</v>
      </c>
      <c r="D250" s="347"/>
      <c r="E250" s="369">
        <v>2017</v>
      </c>
      <c r="F250" s="369" t="s">
        <v>626</v>
      </c>
      <c r="G250" s="113">
        <v>782.36599999999999</v>
      </c>
      <c r="H250" s="113"/>
      <c r="I250" s="113"/>
      <c r="J250" s="113"/>
      <c r="K250" s="113">
        <v>782.36599999999999</v>
      </c>
      <c r="L250" s="113">
        <v>670</v>
      </c>
      <c r="M250" s="113"/>
      <c r="N250" s="113"/>
      <c r="O250" s="113">
        <v>670</v>
      </c>
      <c r="P250" s="113">
        <v>670</v>
      </c>
      <c r="Q250" s="113"/>
      <c r="R250" s="113"/>
      <c r="S250" s="113">
        <v>670</v>
      </c>
      <c r="T250" s="113">
        <v>670</v>
      </c>
      <c r="U250" s="113"/>
      <c r="V250" s="113"/>
      <c r="W250" s="113"/>
      <c r="X250" s="113">
        <v>670</v>
      </c>
      <c r="Y250" s="113">
        <v>670</v>
      </c>
      <c r="Z250" s="113"/>
      <c r="AA250" s="113"/>
      <c r="AB250" s="113"/>
      <c r="AC250" s="113">
        <v>670</v>
      </c>
      <c r="AD250" s="348">
        <f t="shared" si="12"/>
        <v>1</v>
      </c>
      <c r="AE250" s="348"/>
      <c r="AF250" s="348"/>
      <c r="AG250" s="348"/>
      <c r="AH250" s="348">
        <f>AC250/X250</f>
        <v>1</v>
      </c>
    </row>
    <row r="251" spans="1:34" s="346" customFormat="1">
      <c r="A251" s="334">
        <v>49</v>
      </c>
      <c r="B251" s="335" t="s">
        <v>174</v>
      </c>
      <c r="C251" s="334"/>
      <c r="D251" s="334"/>
      <c r="E251" s="357"/>
      <c r="F251" s="357"/>
      <c r="G251" s="345"/>
      <c r="H251" s="345"/>
      <c r="I251" s="345"/>
      <c r="J251" s="345"/>
      <c r="K251" s="345"/>
      <c r="L251" s="345"/>
      <c r="M251" s="345"/>
      <c r="N251" s="345"/>
      <c r="O251" s="345"/>
      <c r="P251" s="345"/>
      <c r="Q251" s="345"/>
      <c r="R251" s="345"/>
      <c r="S251" s="345"/>
      <c r="T251" s="345"/>
      <c r="U251" s="345"/>
      <c r="V251" s="345"/>
      <c r="W251" s="345"/>
      <c r="X251" s="345"/>
      <c r="Y251" s="345"/>
      <c r="Z251" s="345"/>
      <c r="AA251" s="345"/>
      <c r="AB251" s="345"/>
      <c r="AC251" s="345"/>
      <c r="AD251" s="348"/>
      <c r="AE251" s="348"/>
      <c r="AF251" s="348"/>
      <c r="AG251" s="348"/>
      <c r="AH251" s="348"/>
    </row>
    <row r="252" spans="1:34" ht="47.25">
      <c r="A252" s="347" t="s">
        <v>23</v>
      </c>
      <c r="B252" s="337" t="s">
        <v>627</v>
      </c>
      <c r="C252" s="347"/>
      <c r="D252" s="347"/>
      <c r="E252" s="369"/>
      <c r="F252" s="369" t="s">
        <v>628</v>
      </c>
      <c r="G252" s="113">
        <v>96500</v>
      </c>
      <c r="H252" s="113"/>
      <c r="I252" s="113"/>
      <c r="J252" s="113"/>
      <c r="K252" s="113">
        <v>96500</v>
      </c>
      <c r="L252" s="113">
        <v>77481</v>
      </c>
      <c r="M252" s="113"/>
      <c r="N252" s="113"/>
      <c r="O252" s="113"/>
      <c r="P252" s="113">
        <v>74257.706999999995</v>
      </c>
      <c r="Q252" s="113"/>
      <c r="R252" s="113"/>
      <c r="S252" s="113">
        <v>74257.706999999995</v>
      </c>
      <c r="T252" s="113">
        <v>60187.759000999999</v>
      </c>
      <c r="U252" s="113"/>
      <c r="V252" s="113"/>
      <c r="W252" s="113"/>
      <c r="X252" s="113">
        <v>60187.759000999999</v>
      </c>
      <c r="Y252" s="113">
        <v>60184.705000000002</v>
      </c>
      <c r="Z252" s="113"/>
      <c r="AA252" s="113"/>
      <c r="AB252" s="113"/>
      <c r="AC252" s="113">
        <v>60184.705000000002</v>
      </c>
      <c r="AD252" s="348">
        <f t="shared" si="12"/>
        <v>0.99994925876871499</v>
      </c>
      <c r="AE252" s="348"/>
      <c r="AF252" s="348"/>
      <c r="AG252" s="348"/>
      <c r="AH252" s="348">
        <f>AC252/X252</f>
        <v>0.99994925876871499</v>
      </c>
    </row>
    <row r="253" spans="1:34" s="346" customFormat="1">
      <c r="A253" s="334">
        <v>50</v>
      </c>
      <c r="B253" s="335" t="s">
        <v>175</v>
      </c>
      <c r="C253" s="334"/>
      <c r="D253" s="334"/>
      <c r="E253" s="357"/>
      <c r="F253" s="357"/>
      <c r="G253" s="345"/>
      <c r="H253" s="345"/>
      <c r="I253" s="345"/>
      <c r="J253" s="345"/>
      <c r="K253" s="345"/>
      <c r="L253" s="345"/>
      <c r="M253" s="345"/>
      <c r="N253" s="345"/>
      <c r="O253" s="345"/>
      <c r="P253" s="345"/>
      <c r="Q253" s="345"/>
      <c r="R253" s="345"/>
      <c r="S253" s="345"/>
      <c r="T253" s="345"/>
      <c r="U253" s="345"/>
      <c r="V253" s="345"/>
      <c r="W253" s="345"/>
      <c r="X253" s="345"/>
      <c r="Y253" s="345"/>
      <c r="Z253" s="345"/>
      <c r="AA253" s="345"/>
      <c r="AB253" s="345"/>
      <c r="AC253" s="345"/>
      <c r="AD253" s="348"/>
      <c r="AE253" s="348"/>
      <c r="AF253" s="348"/>
      <c r="AG253" s="348"/>
      <c r="AH253" s="348"/>
    </row>
    <row r="254" spans="1:34" ht="31.5">
      <c r="A254" s="347" t="s">
        <v>23</v>
      </c>
      <c r="B254" s="337" t="s">
        <v>629</v>
      </c>
      <c r="C254" s="347" t="s">
        <v>351</v>
      </c>
      <c r="D254" s="347"/>
      <c r="E254" s="369" t="s">
        <v>630</v>
      </c>
      <c r="F254" s="369" t="s">
        <v>631</v>
      </c>
      <c r="G254" s="113">
        <v>1864</v>
      </c>
      <c r="H254" s="113"/>
      <c r="I254" s="113"/>
      <c r="J254" s="113"/>
      <c r="K254" s="113">
        <v>1864</v>
      </c>
      <c r="L254" s="113">
        <v>700</v>
      </c>
      <c r="M254" s="113"/>
      <c r="N254" s="113"/>
      <c r="O254" s="113">
        <v>700</v>
      </c>
      <c r="P254" s="113">
        <v>700.26800000000003</v>
      </c>
      <c r="Q254" s="113"/>
      <c r="R254" s="113"/>
      <c r="S254" s="113">
        <v>700.26800000000003</v>
      </c>
      <c r="T254" s="113">
        <v>74.718999999999994</v>
      </c>
      <c r="U254" s="113"/>
      <c r="V254" s="113"/>
      <c r="W254" s="113"/>
      <c r="X254" s="113">
        <v>74.718999999999994</v>
      </c>
      <c r="Y254" s="113">
        <v>74.718999999999994</v>
      </c>
      <c r="Z254" s="113"/>
      <c r="AA254" s="113"/>
      <c r="AB254" s="113"/>
      <c r="AC254" s="113">
        <v>74.718999999999994</v>
      </c>
      <c r="AD254" s="348">
        <f t="shared" si="12"/>
        <v>1</v>
      </c>
      <c r="AE254" s="348"/>
      <c r="AF254" s="348"/>
      <c r="AG254" s="348"/>
      <c r="AH254" s="348">
        <f>AC254/X254</f>
        <v>1</v>
      </c>
    </row>
    <row r="255" spans="1:34" ht="31.5">
      <c r="A255" s="347" t="s">
        <v>23</v>
      </c>
      <c r="B255" s="337" t="s">
        <v>632</v>
      </c>
      <c r="C255" s="347" t="s">
        <v>298</v>
      </c>
      <c r="D255" s="347"/>
      <c r="E255" s="369" t="s">
        <v>226</v>
      </c>
      <c r="F255" s="369" t="s">
        <v>633</v>
      </c>
      <c r="G255" s="113">
        <v>11629</v>
      </c>
      <c r="H255" s="113"/>
      <c r="I255" s="113">
        <v>7559</v>
      </c>
      <c r="J255" s="113"/>
      <c r="K255" s="113">
        <v>4070</v>
      </c>
      <c r="L255" s="113">
        <v>10175</v>
      </c>
      <c r="M255" s="113"/>
      <c r="N255" s="113">
        <v>6512</v>
      </c>
      <c r="O255" s="113">
        <v>3663</v>
      </c>
      <c r="P255" s="113">
        <v>10174.041999999999</v>
      </c>
      <c r="Q255" s="113"/>
      <c r="R255" s="113">
        <v>6511.9570000000003</v>
      </c>
      <c r="S255" s="113">
        <v>3662.085</v>
      </c>
      <c r="T255" s="113">
        <v>663.08500000000004</v>
      </c>
      <c r="U255" s="113"/>
      <c r="V255" s="113"/>
      <c r="W255" s="113"/>
      <c r="X255" s="113">
        <v>663.08500000000004</v>
      </c>
      <c r="Y255" s="113">
        <v>662.08500000000004</v>
      </c>
      <c r="Z255" s="113"/>
      <c r="AA255" s="113"/>
      <c r="AB255" s="113"/>
      <c r="AC255" s="113">
        <v>662.08500000000004</v>
      </c>
      <c r="AD255" s="348">
        <f t="shared" si="12"/>
        <v>0.9984918977205034</v>
      </c>
      <c r="AE255" s="348"/>
      <c r="AF255" s="348"/>
      <c r="AG255" s="348"/>
      <c r="AH255" s="348">
        <f>AC255/X255</f>
        <v>0.9984918977205034</v>
      </c>
    </row>
    <row r="256" spans="1:34" ht="31.5">
      <c r="A256" s="347" t="s">
        <v>23</v>
      </c>
      <c r="B256" s="337" t="s">
        <v>634</v>
      </c>
      <c r="C256" s="347" t="s">
        <v>298</v>
      </c>
      <c r="D256" s="347"/>
      <c r="E256" s="369" t="s">
        <v>226</v>
      </c>
      <c r="F256" s="369" t="s">
        <v>633</v>
      </c>
      <c r="G256" s="113">
        <v>46089</v>
      </c>
      <c r="H256" s="113"/>
      <c r="I256" s="113">
        <v>36551</v>
      </c>
      <c r="J256" s="113"/>
      <c r="K256" s="113">
        <v>9538</v>
      </c>
      <c r="L256" s="113">
        <v>41816</v>
      </c>
      <c r="M256" s="113"/>
      <c r="N256" s="113">
        <v>34801</v>
      </c>
      <c r="O256" s="113">
        <v>7015</v>
      </c>
      <c r="P256" s="113">
        <v>41815.921999999999</v>
      </c>
      <c r="Q256" s="113"/>
      <c r="R256" s="113">
        <v>34801</v>
      </c>
      <c r="S256" s="113">
        <v>7014.9219999999996</v>
      </c>
      <c r="T256" s="113">
        <v>17.244</v>
      </c>
      <c r="U256" s="113"/>
      <c r="V256" s="113">
        <v>17.244</v>
      </c>
      <c r="W256" s="113"/>
      <c r="X256" s="113"/>
      <c r="Y256" s="113">
        <v>17.244</v>
      </c>
      <c r="Z256" s="113"/>
      <c r="AA256" s="113">
        <v>17.244</v>
      </c>
      <c r="AB256" s="113"/>
      <c r="AC256" s="113"/>
      <c r="AD256" s="348">
        <f t="shared" si="12"/>
        <v>1</v>
      </c>
      <c r="AE256" s="348"/>
      <c r="AF256" s="348">
        <f t="shared" ref="AF256:AF260" si="13">AA256/V256</f>
        <v>1</v>
      </c>
      <c r="AG256" s="348"/>
      <c r="AH256" s="348"/>
    </row>
    <row r="257" spans="1:34" ht="31.5">
      <c r="A257" s="347" t="s">
        <v>23</v>
      </c>
      <c r="B257" s="337" t="s">
        <v>635</v>
      </c>
      <c r="C257" s="347" t="s">
        <v>298</v>
      </c>
      <c r="D257" s="347"/>
      <c r="E257" s="369" t="s">
        <v>239</v>
      </c>
      <c r="F257" s="369" t="s">
        <v>636</v>
      </c>
      <c r="G257" s="113">
        <v>27251</v>
      </c>
      <c r="H257" s="113"/>
      <c r="I257" s="113">
        <v>17713</v>
      </c>
      <c r="J257" s="113"/>
      <c r="K257" s="113">
        <v>9538</v>
      </c>
      <c r="L257" s="113">
        <v>23365</v>
      </c>
      <c r="M257" s="113"/>
      <c r="N257" s="113">
        <v>16350</v>
      </c>
      <c r="O257" s="113">
        <v>7015</v>
      </c>
      <c r="P257" s="113">
        <v>23364.921999999999</v>
      </c>
      <c r="Q257" s="113"/>
      <c r="R257" s="113">
        <v>16350</v>
      </c>
      <c r="S257" s="113">
        <v>7014.9219999999996</v>
      </c>
      <c r="T257" s="113">
        <v>7069.9219999999996</v>
      </c>
      <c r="U257" s="113"/>
      <c r="V257" s="113">
        <v>55</v>
      </c>
      <c r="W257" s="113"/>
      <c r="X257" s="113">
        <f>T257-V257</f>
        <v>7014.9219999999996</v>
      </c>
      <c r="Y257" s="113">
        <v>7069.9219999999996</v>
      </c>
      <c r="Z257" s="113"/>
      <c r="AA257" s="113">
        <v>55</v>
      </c>
      <c r="AB257" s="113"/>
      <c r="AC257" s="113">
        <v>7014.9219999999996</v>
      </c>
      <c r="AD257" s="348">
        <f t="shared" si="12"/>
        <v>1</v>
      </c>
      <c r="AE257" s="348"/>
      <c r="AF257" s="348">
        <f t="shared" si="13"/>
        <v>1</v>
      </c>
      <c r="AG257" s="348"/>
      <c r="AH257" s="348">
        <f t="shared" ref="AH257:AH304" si="14">AC257/X257</f>
        <v>1</v>
      </c>
    </row>
    <row r="258" spans="1:34" ht="47.25">
      <c r="A258" s="347" t="s">
        <v>23</v>
      </c>
      <c r="B258" s="337" t="s">
        <v>637</v>
      </c>
      <c r="C258" s="347"/>
      <c r="D258" s="347"/>
      <c r="E258" s="369"/>
      <c r="F258" s="369"/>
      <c r="G258" s="113"/>
      <c r="H258" s="113"/>
      <c r="I258" s="113"/>
      <c r="J258" s="113"/>
      <c r="K258" s="113"/>
      <c r="L258" s="113"/>
      <c r="M258" s="113"/>
      <c r="N258" s="113"/>
      <c r="O258" s="113"/>
      <c r="P258" s="113"/>
      <c r="Q258" s="113"/>
      <c r="R258" s="113"/>
      <c r="S258" s="113"/>
      <c r="T258" s="113">
        <v>6.78</v>
      </c>
      <c r="U258" s="113"/>
      <c r="V258" s="113"/>
      <c r="W258" s="113"/>
      <c r="X258" s="113">
        <v>6.78</v>
      </c>
      <c r="Y258" s="113">
        <v>6.78</v>
      </c>
      <c r="Z258" s="113"/>
      <c r="AA258" s="113"/>
      <c r="AB258" s="113"/>
      <c r="AC258" s="113">
        <v>6.78</v>
      </c>
      <c r="AD258" s="348">
        <f t="shared" si="12"/>
        <v>1</v>
      </c>
      <c r="AE258" s="348"/>
      <c r="AF258" s="348"/>
      <c r="AG258" s="348"/>
      <c r="AH258" s="348">
        <f t="shared" si="14"/>
        <v>1</v>
      </c>
    </row>
    <row r="259" spans="1:34" ht="47.25">
      <c r="A259" s="347" t="s">
        <v>23</v>
      </c>
      <c r="B259" s="337" t="s">
        <v>638</v>
      </c>
      <c r="C259" s="347"/>
      <c r="D259" s="347"/>
      <c r="E259" s="369"/>
      <c r="F259" s="369"/>
      <c r="G259" s="113"/>
      <c r="H259" s="113"/>
      <c r="I259" s="113"/>
      <c r="J259" s="113"/>
      <c r="K259" s="113"/>
      <c r="L259" s="113"/>
      <c r="M259" s="113"/>
      <c r="N259" s="113"/>
      <c r="O259" s="113"/>
      <c r="P259" s="113"/>
      <c r="Q259" s="113"/>
      <c r="R259" s="113"/>
      <c r="S259" s="113"/>
      <c r="T259" s="113">
        <v>22.745000000000001</v>
      </c>
      <c r="U259" s="113"/>
      <c r="V259" s="113"/>
      <c r="W259" s="113"/>
      <c r="X259" s="113">
        <v>22.745000000000001</v>
      </c>
      <c r="Y259" s="113">
        <v>22.745000000000001</v>
      </c>
      <c r="Z259" s="113"/>
      <c r="AA259" s="113"/>
      <c r="AB259" s="113"/>
      <c r="AC259" s="113">
        <v>22.745000000000001</v>
      </c>
      <c r="AD259" s="348">
        <f t="shared" si="12"/>
        <v>1</v>
      </c>
      <c r="AE259" s="348"/>
      <c r="AF259" s="348"/>
      <c r="AG259" s="348"/>
      <c r="AH259" s="348">
        <f t="shared" si="14"/>
        <v>1</v>
      </c>
    </row>
    <row r="260" spans="1:34" ht="31.5">
      <c r="A260" s="347" t="s">
        <v>23</v>
      </c>
      <c r="B260" s="337" t="s">
        <v>639</v>
      </c>
      <c r="C260" s="347" t="s">
        <v>396</v>
      </c>
      <c r="D260" s="347"/>
      <c r="E260" s="369" t="s">
        <v>640</v>
      </c>
      <c r="F260" s="369" t="s">
        <v>641</v>
      </c>
      <c r="G260" s="113">
        <v>687515</v>
      </c>
      <c r="H260" s="113"/>
      <c r="I260" s="113">
        <v>584388</v>
      </c>
      <c r="J260" s="113"/>
      <c r="K260" s="113">
        <v>103127</v>
      </c>
      <c r="L260" s="113">
        <v>114415</v>
      </c>
      <c r="M260" s="113"/>
      <c r="N260" s="113">
        <v>97253</v>
      </c>
      <c r="O260" s="113">
        <v>17162</v>
      </c>
      <c r="P260" s="113">
        <v>100134</v>
      </c>
      <c r="Q260" s="113"/>
      <c r="R260" s="113">
        <v>77634</v>
      </c>
      <c r="S260" s="113">
        <v>22500</v>
      </c>
      <c r="T260" s="113">
        <v>29376.731693000002</v>
      </c>
      <c r="U260" s="113"/>
      <c r="V260" s="113">
        <v>22800.977693000001</v>
      </c>
      <c r="W260" s="113"/>
      <c r="X260" s="113">
        <f>T260-V260</f>
        <v>6575.7540000000008</v>
      </c>
      <c r="Y260" s="113">
        <v>27557.799760999998</v>
      </c>
      <c r="Z260" s="113"/>
      <c r="AA260" s="113">
        <v>22081.977693000001</v>
      </c>
      <c r="AB260" s="113"/>
      <c r="AC260" s="113">
        <v>5475.8220679999977</v>
      </c>
      <c r="AD260" s="348">
        <f t="shared" si="12"/>
        <v>0.93808256306356141</v>
      </c>
      <c r="AE260" s="348"/>
      <c r="AF260" s="348">
        <f t="shared" si="13"/>
        <v>0.96846626448738926</v>
      </c>
      <c r="AG260" s="348"/>
      <c r="AH260" s="348">
        <f t="shared" si="14"/>
        <v>0.83272915440571482</v>
      </c>
    </row>
    <row r="261" spans="1:34" ht="94.5">
      <c r="A261" s="347" t="s">
        <v>23</v>
      </c>
      <c r="B261" s="337" t="s">
        <v>642</v>
      </c>
      <c r="C261" s="347" t="s">
        <v>643</v>
      </c>
      <c r="D261" s="347"/>
      <c r="E261" s="369" t="s">
        <v>644</v>
      </c>
      <c r="F261" s="369" t="s">
        <v>645</v>
      </c>
      <c r="G261" s="113">
        <v>105488</v>
      </c>
      <c r="H261" s="113"/>
      <c r="I261" s="113">
        <v>36551</v>
      </c>
      <c r="J261" s="113"/>
      <c r="K261" s="113">
        <v>68937</v>
      </c>
      <c r="L261" s="113">
        <v>93885</v>
      </c>
      <c r="M261" s="113"/>
      <c r="N261" s="113">
        <v>34801</v>
      </c>
      <c r="O261" s="113">
        <v>59084</v>
      </c>
      <c r="P261" s="113">
        <v>88141.440000000002</v>
      </c>
      <c r="Q261" s="113"/>
      <c r="R261" s="113">
        <v>34801.440000000002</v>
      </c>
      <c r="S261" s="113">
        <v>53340</v>
      </c>
      <c r="T261" s="113">
        <v>13504.239</v>
      </c>
      <c r="U261" s="113"/>
      <c r="V261" s="113"/>
      <c r="W261" s="113"/>
      <c r="X261" s="113">
        <v>13504.239</v>
      </c>
      <c r="Y261" s="113">
        <v>13311.856</v>
      </c>
      <c r="Z261" s="113"/>
      <c r="AA261" s="113"/>
      <c r="AB261" s="113"/>
      <c r="AC261" s="113">
        <v>13311.856</v>
      </c>
      <c r="AD261" s="348">
        <f t="shared" si="12"/>
        <v>0.98575388068887115</v>
      </c>
      <c r="AE261" s="348"/>
      <c r="AF261" s="348"/>
      <c r="AG261" s="348"/>
      <c r="AH261" s="348">
        <f t="shared" si="14"/>
        <v>0.98575388068887115</v>
      </c>
    </row>
    <row r="262" spans="1:34" ht="31.5">
      <c r="A262" s="347" t="s">
        <v>23</v>
      </c>
      <c r="B262" s="337" t="s">
        <v>646</v>
      </c>
      <c r="C262" s="347"/>
      <c r="D262" s="347"/>
      <c r="E262" s="369"/>
      <c r="F262" s="369"/>
      <c r="G262" s="113">
        <v>4326</v>
      </c>
      <c r="H262" s="113"/>
      <c r="I262" s="113"/>
      <c r="J262" s="113"/>
      <c r="K262" s="113">
        <v>4326</v>
      </c>
      <c r="L262" s="113"/>
      <c r="M262" s="113"/>
      <c r="N262" s="113"/>
      <c r="O262" s="113"/>
      <c r="P262" s="113"/>
      <c r="Q262" s="113"/>
      <c r="R262" s="113"/>
      <c r="S262" s="113"/>
      <c r="T262" s="113">
        <v>360</v>
      </c>
      <c r="U262" s="113"/>
      <c r="V262" s="113"/>
      <c r="W262" s="113"/>
      <c r="X262" s="113">
        <v>360</v>
      </c>
      <c r="Y262" s="113">
        <v>359.52100000000002</v>
      </c>
      <c r="Z262" s="113"/>
      <c r="AA262" s="113"/>
      <c r="AB262" s="113"/>
      <c r="AC262" s="113">
        <v>359.52100000000002</v>
      </c>
      <c r="AD262" s="348">
        <f t="shared" si="12"/>
        <v>0.9986694444444445</v>
      </c>
      <c r="AE262" s="348"/>
      <c r="AF262" s="348"/>
      <c r="AG262" s="348"/>
      <c r="AH262" s="348">
        <f t="shared" si="14"/>
        <v>0.9986694444444445</v>
      </c>
    </row>
    <row r="263" spans="1:34" ht="47.25">
      <c r="A263" s="347" t="s">
        <v>23</v>
      </c>
      <c r="B263" s="337" t="s">
        <v>647</v>
      </c>
      <c r="C263" s="347"/>
      <c r="D263" s="347"/>
      <c r="E263" s="369"/>
      <c r="F263" s="369"/>
      <c r="G263" s="113"/>
      <c r="H263" s="113"/>
      <c r="I263" s="113"/>
      <c r="J263" s="113"/>
      <c r="K263" s="113"/>
      <c r="L263" s="113"/>
      <c r="M263" s="113"/>
      <c r="N263" s="113"/>
      <c r="O263" s="113"/>
      <c r="P263" s="113"/>
      <c r="Q263" s="113"/>
      <c r="R263" s="113"/>
      <c r="S263" s="113"/>
      <c r="T263" s="113">
        <v>2.19</v>
      </c>
      <c r="U263" s="113"/>
      <c r="V263" s="113"/>
      <c r="W263" s="113"/>
      <c r="X263" s="113">
        <v>2.19</v>
      </c>
      <c r="Y263" s="113">
        <v>2.19</v>
      </c>
      <c r="Z263" s="113"/>
      <c r="AA263" s="113"/>
      <c r="AB263" s="113"/>
      <c r="AC263" s="113">
        <v>2.19</v>
      </c>
      <c r="AD263" s="348">
        <f t="shared" si="12"/>
        <v>1</v>
      </c>
      <c r="AE263" s="348"/>
      <c r="AF263" s="348"/>
      <c r="AG263" s="348"/>
      <c r="AH263" s="348">
        <f t="shared" si="14"/>
        <v>1</v>
      </c>
    </row>
    <row r="264" spans="1:34" ht="63">
      <c r="A264" s="347" t="s">
        <v>23</v>
      </c>
      <c r="B264" s="337" t="s">
        <v>648</v>
      </c>
      <c r="C264" s="347" t="s">
        <v>396</v>
      </c>
      <c r="D264" s="347"/>
      <c r="E264" s="369"/>
      <c r="F264" s="369" t="s">
        <v>649</v>
      </c>
      <c r="G264" s="113">
        <v>330</v>
      </c>
      <c r="H264" s="113"/>
      <c r="I264" s="113"/>
      <c r="J264" s="113"/>
      <c r="K264" s="113">
        <v>330</v>
      </c>
      <c r="L264" s="113">
        <v>330</v>
      </c>
      <c r="M264" s="113"/>
      <c r="N264" s="113"/>
      <c r="O264" s="113">
        <v>330</v>
      </c>
      <c r="P264" s="113">
        <v>230</v>
      </c>
      <c r="Q264" s="113"/>
      <c r="R264" s="113"/>
      <c r="S264" s="113">
        <v>230</v>
      </c>
      <c r="T264" s="113">
        <v>230</v>
      </c>
      <c r="U264" s="113"/>
      <c r="V264" s="113"/>
      <c r="W264" s="113"/>
      <c r="X264" s="113">
        <v>230</v>
      </c>
      <c r="Y264" s="113">
        <v>230</v>
      </c>
      <c r="Z264" s="113"/>
      <c r="AA264" s="113"/>
      <c r="AB264" s="113"/>
      <c r="AC264" s="113">
        <v>230</v>
      </c>
      <c r="AD264" s="348">
        <f t="shared" si="12"/>
        <v>1</v>
      </c>
      <c r="AE264" s="348"/>
      <c r="AF264" s="348"/>
      <c r="AG264" s="348"/>
      <c r="AH264" s="348">
        <f t="shared" si="14"/>
        <v>1</v>
      </c>
    </row>
    <row r="265" spans="1:34" ht="47.25">
      <c r="A265" s="347" t="s">
        <v>23</v>
      </c>
      <c r="B265" s="337" t="s">
        <v>650</v>
      </c>
      <c r="C265" s="347" t="s">
        <v>298</v>
      </c>
      <c r="D265" s="347"/>
      <c r="E265" s="369" t="s">
        <v>506</v>
      </c>
      <c r="F265" s="369" t="s">
        <v>651</v>
      </c>
      <c r="G265" s="113">
        <v>83600</v>
      </c>
      <c r="H265" s="113"/>
      <c r="I265" s="113">
        <v>60000</v>
      </c>
      <c r="J265" s="113"/>
      <c r="K265" s="113">
        <v>23600</v>
      </c>
      <c r="L265" s="113">
        <v>22995</v>
      </c>
      <c r="M265" s="113"/>
      <c r="N265" s="113">
        <v>16504</v>
      </c>
      <c r="O265" s="113">
        <v>6491</v>
      </c>
      <c r="P265" s="113">
        <v>33140</v>
      </c>
      <c r="Q265" s="113"/>
      <c r="R265" s="113">
        <v>32770</v>
      </c>
      <c r="S265" s="113">
        <v>370</v>
      </c>
      <c r="T265" s="113">
        <v>30460.235000000001</v>
      </c>
      <c r="U265" s="113"/>
      <c r="V265" s="113">
        <v>30243.928</v>
      </c>
      <c r="W265" s="113"/>
      <c r="X265" s="113">
        <f>T265-V265</f>
        <v>216.3070000000007</v>
      </c>
      <c r="Y265" s="113">
        <v>17699.374049999999</v>
      </c>
      <c r="Z265" s="113"/>
      <c r="AA265" s="113">
        <v>17699.374049999999</v>
      </c>
      <c r="AB265" s="113"/>
      <c r="AC265" s="113"/>
      <c r="AD265" s="348">
        <f t="shared" si="12"/>
        <v>0.58106492119972153</v>
      </c>
      <c r="AE265" s="348"/>
      <c r="AF265" s="348"/>
      <c r="AG265" s="348"/>
      <c r="AH265" s="348">
        <f t="shared" si="14"/>
        <v>0</v>
      </c>
    </row>
    <row r="266" spans="1:34" ht="31.5">
      <c r="A266" s="347" t="s">
        <v>23</v>
      </c>
      <c r="B266" s="337" t="s">
        <v>652</v>
      </c>
      <c r="C266" s="347" t="s">
        <v>261</v>
      </c>
      <c r="D266" s="347"/>
      <c r="E266" s="369"/>
      <c r="F266" s="369"/>
      <c r="G266" s="113"/>
      <c r="H266" s="113"/>
      <c r="I266" s="113"/>
      <c r="J266" s="113"/>
      <c r="K266" s="113"/>
      <c r="L266" s="113"/>
      <c r="M266" s="113"/>
      <c r="N266" s="113"/>
      <c r="O266" s="113"/>
      <c r="P266" s="113"/>
      <c r="Q266" s="113"/>
      <c r="R266" s="113"/>
      <c r="S266" s="113"/>
      <c r="T266" s="113">
        <v>2263.3560000000002</v>
      </c>
      <c r="U266" s="113"/>
      <c r="V266" s="113"/>
      <c r="W266" s="113"/>
      <c r="X266" s="113">
        <v>2263.3560000000002</v>
      </c>
      <c r="Y266" s="113">
        <v>2263.3560000000002</v>
      </c>
      <c r="Z266" s="113"/>
      <c r="AA266" s="113"/>
      <c r="AB266" s="113"/>
      <c r="AC266" s="113">
        <v>2263.3560000000002</v>
      </c>
      <c r="AD266" s="348">
        <f t="shared" si="12"/>
        <v>1</v>
      </c>
      <c r="AE266" s="348"/>
      <c r="AF266" s="348"/>
      <c r="AG266" s="348"/>
      <c r="AH266" s="348">
        <f t="shared" si="14"/>
        <v>1</v>
      </c>
    </row>
    <row r="267" spans="1:34" ht="47.25">
      <c r="A267" s="347" t="s">
        <v>23</v>
      </c>
      <c r="B267" s="337" t="s">
        <v>653</v>
      </c>
      <c r="C267" s="347" t="s">
        <v>396</v>
      </c>
      <c r="D267" s="347"/>
      <c r="E267" s="369"/>
      <c r="F267" s="369" t="s">
        <v>654</v>
      </c>
      <c r="G267" s="113">
        <v>5490</v>
      </c>
      <c r="H267" s="113"/>
      <c r="I267" s="113"/>
      <c r="J267" s="113"/>
      <c r="K267" s="113">
        <v>5490</v>
      </c>
      <c r="L267" s="113">
        <v>3034</v>
      </c>
      <c r="M267" s="113"/>
      <c r="N267" s="113"/>
      <c r="O267" s="113">
        <v>3034</v>
      </c>
      <c r="P267" s="113">
        <v>2196</v>
      </c>
      <c r="Q267" s="113"/>
      <c r="R267" s="113"/>
      <c r="S267" s="113">
        <v>2196</v>
      </c>
      <c r="T267" s="113">
        <v>2176</v>
      </c>
      <c r="U267" s="113"/>
      <c r="V267" s="113"/>
      <c r="W267" s="113"/>
      <c r="X267" s="113">
        <v>2176</v>
      </c>
      <c r="Y267" s="113">
        <v>2176</v>
      </c>
      <c r="Z267" s="113"/>
      <c r="AA267" s="113"/>
      <c r="AB267" s="113"/>
      <c r="AC267" s="113">
        <v>2176</v>
      </c>
      <c r="AD267" s="348">
        <f t="shared" si="12"/>
        <v>1</v>
      </c>
      <c r="AE267" s="348"/>
      <c r="AF267" s="348"/>
      <c r="AG267" s="348"/>
      <c r="AH267" s="348">
        <f t="shared" si="14"/>
        <v>1</v>
      </c>
    </row>
    <row r="268" spans="1:34" ht="31.5">
      <c r="A268" s="347" t="s">
        <v>23</v>
      </c>
      <c r="B268" s="337" t="s">
        <v>655</v>
      </c>
      <c r="C268" s="347"/>
      <c r="D268" s="347"/>
      <c r="E268" s="369"/>
      <c r="F268" s="369"/>
      <c r="G268" s="113"/>
      <c r="H268" s="113"/>
      <c r="I268" s="113"/>
      <c r="J268" s="113"/>
      <c r="K268" s="113"/>
      <c r="L268" s="113"/>
      <c r="M268" s="113"/>
      <c r="N268" s="113"/>
      <c r="O268" s="113"/>
      <c r="P268" s="113"/>
      <c r="Q268" s="113"/>
      <c r="R268" s="113"/>
      <c r="S268" s="113"/>
      <c r="T268" s="113">
        <v>892.44899999999996</v>
      </c>
      <c r="U268" s="113"/>
      <c r="V268" s="113"/>
      <c r="W268" s="113"/>
      <c r="X268" s="113">
        <v>892.44899999999996</v>
      </c>
      <c r="Y268" s="113">
        <v>892.44899999999996</v>
      </c>
      <c r="Z268" s="113"/>
      <c r="AA268" s="113"/>
      <c r="AB268" s="113"/>
      <c r="AC268" s="113">
        <v>892.44899999999996</v>
      </c>
      <c r="AD268" s="348">
        <f t="shared" si="12"/>
        <v>1</v>
      </c>
      <c r="AE268" s="348"/>
      <c r="AF268" s="348"/>
      <c r="AG268" s="348"/>
      <c r="AH268" s="348">
        <f t="shared" si="14"/>
        <v>1</v>
      </c>
    </row>
    <row r="269" spans="1:34" ht="47.25">
      <c r="A269" s="347" t="s">
        <v>23</v>
      </c>
      <c r="B269" s="337" t="s">
        <v>656</v>
      </c>
      <c r="C269" s="347" t="s">
        <v>396</v>
      </c>
      <c r="D269" s="347"/>
      <c r="E269" s="369"/>
      <c r="F269" s="369" t="s">
        <v>657</v>
      </c>
      <c r="G269" s="113">
        <v>1147</v>
      </c>
      <c r="H269" s="113"/>
      <c r="I269" s="113"/>
      <c r="J269" s="113"/>
      <c r="K269" s="113">
        <v>1147</v>
      </c>
      <c r="L269" s="113">
        <v>52</v>
      </c>
      <c r="M269" s="113"/>
      <c r="N269" s="113"/>
      <c r="O269" s="113">
        <v>52</v>
      </c>
      <c r="P269" s="113">
        <v>344</v>
      </c>
      <c r="Q269" s="113"/>
      <c r="R269" s="113"/>
      <c r="S269" s="113">
        <v>344</v>
      </c>
      <c r="T269" s="113">
        <v>344</v>
      </c>
      <c r="U269" s="113"/>
      <c r="V269" s="113"/>
      <c r="W269" s="113"/>
      <c r="X269" s="113">
        <v>344</v>
      </c>
      <c r="Y269" s="113">
        <v>43.350999999999999</v>
      </c>
      <c r="Z269" s="113"/>
      <c r="AA269" s="113"/>
      <c r="AB269" s="113"/>
      <c r="AC269" s="113">
        <v>43.350999999999999</v>
      </c>
      <c r="AD269" s="348">
        <f t="shared" si="12"/>
        <v>0.12602034883720931</v>
      </c>
      <c r="AE269" s="348"/>
      <c r="AF269" s="348"/>
      <c r="AG269" s="348"/>
      <c r="AH269" s="348">
        <f t="shared" si="14"/>
        <v>0.12602034883720931</v>
      </c>
    </row>
    <row r="270" spans="1:34" ht="47.25">
      <c r="A270" s="347" t="s">
        <v>23</v>
      </c>
      <c r="B270" s="337" t="s">
        <v>658</v>
      </c>
      <c r="C270" s="347" t="s">
        <v>396</v>
      </c>
      <c r="D270" s="347"/>
      <c r="E270" s="369"/>
      <c r="F270" s="369" t="s">
        <v>291</v>
      </c>
      <c r="G270" s="113">
        <v>653</v>
      </c>
      <c r="H270" s="113"/>
      <c r="I270" s="113"/>
      <c r="J270" s="113"/>
      <c r="K270" s="113">
        <v>653</v>
      </c>
      <c r="L270" s="113">
        <v>653</v>
      </c>
      <c r="M270" s="113"/>
      <c r="N270" s="113"/>
      <c r="O270" s="113">
        <v>653</v>
      </c>
      <c r="P270" s="113">
        <v>468</v>
      </c>
      <c r="Q270" s="113"/>
      <c r="R270" s="113"/>
      <c r="S270" s="113">
        <v>468</v>
      </c>
      <c r="T270" s="113">
        <v>440</v>
      </c>
      <c r="U270" s="113"/>
      <c r="V270" s="113"/>
      <c r="W270" s="113"/>
      <c r="X270" s="113">
        <v>440</v>
      </c>
      <c r="Y270" s="113">
        <v>440</v>
      </c>
      <c r="Z270" s="113"/>
      <c r="AA270" s="113"/>
      <c r="AB270" s="113"/>
      <c r="AC270" s="113">
        <v>440</v>
      </c>
      <c r="AD270" s="348">
        <f t="shared" ref="AD270:AF332" si="15">Y270/T270</f>
        <v>1</v>
      </c>
      <c r="AE270" s="348"/>
      <c r="AF270" s="348"/>
      <c r="AG270" s="348"/>
      <c r="AH270" s="348">
        <f t="shared" si="14"/>
        <v>1</v>
      </c>
    </row>
    <row r="271" spans="1:34" ht="31.5">
      <c r="A271" s="347" t="s">
        <v>23</v>
      </c>
      <c r="B271" s="337" t="s">
        <v>659</v>
      </c>
      <c r="C271" s="347" t="s">
        <v>251</v>
      </c>
      <c r="D271" s="347"/>
      <c r="E271" s="369">
        <v>2010</v>
      </c>
      <c r="F271" s="369" t="s">
        <v>660</v>
      </c>
      <c r="G271" s="113">
        <v>4722</v>
      </c>
      <c r="H271" s="113"/>
      <c r="I271" s="113"/>
      <c r="J271" s="113"/>
      <c r="K271" s="113">
        <v>4722</v>
      </c>
      <c r="L271" s="113">
        <v>3653</v>
      </c>
      <c r="M271" s="113"/>
      <c r="N271" s="113"/>
      <c r="O271" s="113">
        <v>3653</v>
      </c>
      <c r="P271" s="113">
        <v>3500</v>
      </c>
      <c r="Q271" s="113"/>
      <c r="R271" s="113"/>
      <c r="S271" s="113">
        <v>3500</v>
      </c>
      <c r="T271" s="113">
        <v>60.384000000000015</v>
      </c>
      <c r="U271" s="113"/>
      <c r="V271" s="113"/>
      <c r="W271" s="113"/>
      <c r="X271" s="113">
        <v>60.384000000000015</v>
      </c>
      <c r="Y271" s="113">
        <v>0</v>
      </c>
      <c r="Z271" s="113"/>
      <c r="AA271" s="113"/>
      <c r="AB271" s="113"/>
      <c r="AC271" s="113"/>
      <c r="AD271" s="348">
        <f t="shared" si="15"/>
        <v>0</v>
      </c>
      <c r="AE271" s="348"/>
      <c r="AF271" s="348"/>
      <c r="AG271" s="348"/>
      <c r="AH271" s="348">
        <f t="shared" si="14"/>
        <v>0</v>
      </c>
    </row>
    <row r="272" spans="1:34" s="346" customFormat="1">
      <c r="A272" s="334">
        <v>51</v>
      </c>
      <c r="B272" s="335" t="s">
        <v>176</v>
      </c>
      <c r="C272" s="334"/>
      <c r="D272" s="334"/>
      <c r="E272" s="357"/>
      <c r="F272" s="357"/>
      <c r="G272" s="345"/>
      <c r="H272" s="345"/>
      <c r="I272" s="345"/>
      <c r="J272" s="345"/>
      <c r="K272" s="345"/>
      <c r="L272" s="345"/>
      <c r="M272" s="345"/>
      <c r="N272" s="345"/>
      <c r="O272" s="345"/>
      <c r="P272" s="345"/>
      <c r="Q272" s="345"/>
      <c r="R272" s="345"/>
      <c r="S272" s="345"/>
      <c r="T272" s="345"/>
      <c r="U272" s="345"/>
      <c r="V272" s="345"/>
      <c r="W272" s="345"/>
      <c r="X272" s="345"/>
      <c r="Y272" s="345"/>
      <c r="Z272" s="345"/>
      <c r="AA272" s="345"/>
      <c r="AB272" s="345"/>
      <c r="AC272" s="345"/>
      <c r="AD272" s="348"/>
      <c r="AE272" s="348"/>
      <c r="AF272" s="348"/>
      <c r="AG272" s="348"/>
      <c r="AH272" s="348"/>
    </row>
    <row r="273" spans="1:34" ht="31.5">
      <c r="A273" s="347" t="s">
        <v>23</v>
      </c>
      <c r="B273" s="337" t="s">
        <v>661</v>
      </c>
      <c r="C273" s="347" t="s">
        <v>213</v>
      </c>
      <c r="D273" s="347"/>
      <c r="E273" s="369" t="s">
        <v>662</v>
      </c>
      <c r="F273" s="369" t="s">
        <v>663</v>
      </c>
      <c r="G273" s="113">
        <v>124395.83</v>
      </c>
      <c r="H273" s="113"/>
      <c r="I273" s="113"/>
      <c r="J273" s="113"/>
      <c r="K273" s="113">
        <v>124395.83</v>
      </c>
      <c r="L273" s="113">
        <v>88119.770999999993</v>
      </c>
      <c r="M273" s="113"/>
      <c r="N273" s="113"/>
      <c r="O273" s="113">
        <v>88119.770999999993</v>
      </c>
      <c r="P273" s="113">
        <v>94379.719501</v>
      </c>
      <c r="Q273" s="113"/>
      <c r="R273" s="113"/>
      <c r="S273" s="113">
        <v>94379.719501</v>
      </c>
      <c r="T273" s="113">
        <v>7266.2309999999998</v>
      </c>
      <c r="U273" s="113"/>
      <c r="V273" s="113"/>
      <c r="W273" s="113"/>
      <c r="X273" s="113">
        <v>7266.2309999999998</v>
      </c>
      <c r="Y273" s="113">
        <v>781.23099999999999</v>
      </c>
      <c r="Z273" s="113"/>
      <c r="AA273" s="113"/>
      <c r="AB273" s="113"/>
      <c r="AC273" s="113">
        <v>781.23099999999999</v>
      </c>
      <c r="AD273" s="348">
        <f t="shared" si="15"/>
        <v>0.10751529919706654</v>
      </c>
      <c r="AE273" s="348"/>
      <c r="AF273" s="348"/>
      <c r="AG273" s="348"/>
      <c r="AH273" s="348">
        <f t="shared" si="14"/>
        <v>0.10751529919706654</v>
      </c>
    </row>
    <row r="274" spans="1:34" ht="47.25">
      <c r="A274" s="347" t="s">
        <v>23</v>
      </c>
      <c r="B274" s="337" t="s">
        <v>664</v>
      </c>
      <c r="C274" s="347" t="s">
        <v>217</v>
      </c>
      <c r="D274" s="347"/>
      <c r="E274" s="369" t="s">
        <v>229</v>
      </c>
      <c r="F274" s="369" t="s">
        <v>665</v>
      </c>
      <c r="G274" s="113">
        <v>7730.49</v>
      </c>
      <c r="H274" s="113"/>
      <c r="I274" s="113"/>
      <c r="J274" s="113"/>
      <c r="K274" s="113">
        <v>7730.49</v>
      </c>
      <c r="L274" s="113">
        <v>7212</v>
      </c>
      <c r="M274" s="113"/>
      <c r="N274" s="113"/>
      <c r="O274" s="113">
        <v>7212</v>
      </c>
      <c r="P274" s="113">
        <v>5750</v>
      </c>
      <c r="Q274" s="113"/>
      <c r="R274" s="113"/>
      <c r="S274" s="113">
        <v>5750</v>
      </c>
      <c r="T274" s="113">
        <v>1129.3599999999999</v>
      </c>
      <c r="U274" s="113"/>
      <c r="V274" s="113"/>
      <c r="W274" s="113"/>
      <c r="X274" s="113">
        <v>1129.3599999999999</v>
      </c>
      <c r="Y274" s="113">
        <v>1129.3599999999999</v>
      </c>
      <c r="Z274" s="113"/>
      <c r="AA274" s="113"/>
      <c r="AB274" s="113"/>
      <c r="AC274" s="113">
        <v>1129.3599999999999</v>
      </c>
      <c r="AD274" s="348">
        <f t="shared" si="15"/>
        <v>1</v>
      </c>
      <c r="AE274" s="348"/>
      <c r="AF274" s="348"/>
      <c r="AG274" s="348"/>
      <c r="AH274" s="348">
        <f t="shared" si="14"/>
        <v>1</v>
      </c>
    </row>
    <row r="275" spans="1:34" ht="31.5">
      <c r="A275" s="347" t="s">
        <v>23</v>
      </c>
      <c r="B275" s="337" t="s">
        <v>666</v>
      </c>
      <c r="C275" s="347" t="s">
        <v>351</v>
      </c>
      <c r="D275" s="347"/>
      <c r="E275" s="369" t="s">
        <v>281</v>
      </c>
      <c r="F275" s="369" t="s">
        <v>667</v>
      </c>
      <c r="G275" s="113">
        <v>5728.86</v>
      </c>
      <c r="H275" s="113"/>
      <c r="I275" s="113"/>
      <c r="J275" s="113"/>
      <c r="K275" s="113">
        <v>5728.86</v>
      </c>
      <c r="L275" s="113">
        <v>5434</v>
      </c>
      <c r="M275" s="113"/>
      <c r="N275" s="113"/>
      <c r="O275" s="113">
        <v>5434</v>
      </c>
      <c r="P275" s="113">
        <v>4500</v>
      </c>
      <c r="Q275" s="113"/>
      <c r="R275" s="113"/>
      <c r="S275" s="113">
        <v>4500</v>
      </c>
      <c r="T275" s="113">
        <v>900</v>
      </c>
      <c r="U275" s="113"/>
      <c r="V275" s="113"/>
      <c r="W275" s="113"/>
      <c r="X275" s="113">
        <v>900</v>
      </c>
      <c r="Y275" s="113">
        <v>900</v>
      </c>
      <c r="Z275" s="113"/>
      <c r="AA275" s="113"/>
      <c r="AB275" s="113"/>
      <c r="AC275" s="113">
        <v>900</v>
      </c>
      <c r="AD275" s="348">
        <f t="shared" si="15"/>
        <v>1</v>
      </c>
      <c r="AE275" s="348"/>
      <c r="AF275" s="348"/>
      <c r="AG275" s="348"/>
      <c r="AH275" s="348">
        <f t="shared" si="14"/>
        <v>1</v>
      </c>
    </row>
    <row r="276" spans="1:34" ht="31.5">
      <c r="A276" s="347" t="s">
        <v>23</v>
      </c>
      <c r="B276" s="337" t="s">
        <v>668</v>
      </c>
      <c r="C276" s="347" t="s">
        <v>383</v>
      </c>
      <c r="D276" s="347"/>
      <c r="E276" s="369" t="s">
        <v>378</v>
      </c>
      <c r="F276" s="369" t="s">
        <v>669</v>
      </c>
      <c r="G276" s="113">
        <v>12086.82</v>
      </c>
      <c r="H276" s="113"/>
      <c r="I276" s="113"/>
      <c r="J276" s="113"/>
      <c r="K276" s="113">
        <v>12086.82</v>
      </c>
      <c r="L276" s="113">
        <v>8741.2250000000004</v>
      </c>
      <c r="M276" s="113"/>
      <c r="N276" s="113"/>
      <c r="O276" s="113">
        <v>8741.2250000000004</v>
      </c>
      <c r="P276" s="113">
        <v>8741.2250000000004</v>
      </c>
      <c r="Q276" s="113"/>
      <c r="R276" s="113"/>
      <c r="S276" s="113">
        <v>8741.2250000000004</v>
      </c>
      <c r="T276" s="113">
        <v>3441.2249999999999</v>
      </c>
      <c r="U276" s="113"/>
      <c r="V276" s="113"/>
      <c r="W276" s="113"/>
      <c r="X276" s="113">
        <v>3441.2249999999999</v>
      </c>
      <c r="Y276" s="113">
        <v>3349.877</v>
      </c>
      <c r="Z276" s="113"/>
      <c r="AA276" s="113"/>
      <c r="AB276" s="113"/>
      <c r="AC276" s="113">
        <v>3349.877</v>
      </c>
      <c r="AD276" s="348">
        <f t="shared" si="15"/>
        <v>0.97345480170578791</v>
      </c>
      <c r="AE276" s="348"/>
      <c r="AF276" s="348"/>
      <c r="AG276" s="348"/>
      <c r="AH276" s="348">
        <f t="shared" si="14"/>
        <v>0.97345480170578791</v>
      </c>
    </row>
    <row r="277" spans="1:34" ht="31.5">
      <c r="A277" s="347" t="s">
        <v>23</v>
      </c>
      <c r="B277" s="337" t="s">
        <v>670</v>
      </c>
      <c r="C277" s="347" t="s">
        <v>298</v>
      </c>
      <c r="D277" s="347"/>
      <c r="E277" s="369" t="s">
        <v>489</v>
      </c>
      <c r="F277" s="369" t="s">
        <v>267</v>
      </c>
      <c r="G277" s="113">
        <v>14864.45</v>
      </c>
      <c r="H277" s="113"/>
      <c r="I277" s="113"/>
      <c r="J277" s="113"/>
      <c r="K277" s="113">
        <v>14864.45</v>
      </c>
      <c r="L277" s="113">
        <v>11191</v>
      </c>
      <c r="M277" s="113"/>
      <c r="N277" s="113"/>
      <c r="O277" s="113">
        <v>11191</v>
      </c>
      <c r="P277" s="113">
        <v>9525</v>
      </c>
      <c r="Q277" s="113"/>
      <c r="R277" s="113"/>
      <c r="S277" s="113">
        <v>9525</v>
      </c>
      <c r="T277" s="113">
        <v>4795.5</v>
      </c>
      <c r="U277" s="113"/>
      <c r="V277" s="113"/>
      <c r="W277" s="113"/>
      <c r="X277" s="113">
        <v>4795.5</v>
      </c>
      <c r="Y277" s="113">
        <v>4795.5</v>
      </c>
      <c r="Z277" s="113"/>
      <c r="AA277" s="113"/>
      <c r="AB277" s="113"/>
      <c r="AC277" s="113">
        <v>4795.5</v>
      </c>
      <c r="AD277" s="348">
        <f t="shared" si="15"/>
        <v>1</v>
      </c>
      <c r="AE277" s="348"/>
      <c r="AF277" s="348"/>
      <c r="AG277" s="348"/>
      <c r="AH277" s="348">
        <f t="shared" si="14"/>
        <v>1</v>
      </c>
    </row>
    <row r="278" spans="1:34" ht="47.25">
      <c r="A278" s="347" t="s">
        <v>23</v>
      </c>
      <c r="B278" s="337" t="s">
        <v>671</v>
      </c>
      <c r="C278" s="347" t="s">
        <v>217</v>
      </c>
      <c r="D278" s="347"/>
      <c r="E278" s="369" t="s">
        <v>378</v>
      </c>
      <c r="F278" s="369" t="s">
        <v>672</v>
      </c>
      <c r="G278" s="113">
        <v>2886.6680000000001</v>
      </c>
      <c r="H278" s="113"/>
      <c r="I278" s="113"/>
      <c r="J278" s="113"/>
      <c r="K278" s="113">
        <v>2886.6680000000001</v>
      </c>
      <c r="L278" s="113">
        <v>2400.2199999999998</v>
      </c>
      <c r="M278" s="113"/>
      <c r="N278" s="113"/>
      <c r="O278" s="113">
        <v>2400.2199999999998</v>
      </c>
      <c r="P278" s="113">
        <v>2400</v>
      </c>
      <c r="Q278" s="113"/>
      <c r="R278" s="113"/>
      <c r="S278" s="113">
        <v>2400</v>
      </c>
      <c r="T278" s="113">
        <v>300</v>
      </c>
      <c r="U278" s="113"/>
      <c r="V278" s="113"/>
      <c r="W278" s="113"/>
      <c r="X278" s="113">
        <v>300</v>
      </c>
      <c r="Y278" s="113">
        <v>300</v>
      </c>
      <c r="Z278" s="113"/>
      <c r="AA278" s="113"/>
      <c r="AB278" s="113"/>
      <c r="AC278" s="113">
        <v>300</v>
      </c>
      <c r="AD278" s="348">
        <f t="shared" si="15"/>
        <v>1</v>
      </c>
      <c r="AE278" s="348"/>
      <c r="AF278" s="348"/>
      <c r="AG278" s="348"/>
      <c r="AH278" s="348">
        <f t="shared" si="14"/>
        <v>1</v>
      </c>
    </row>
    <row r="279" spans="1:34" ht="31.5">
      <c r="A279" s="347" t="s">
        <v>23</v>
      </c>
      <c r="B279" s="337" t="s">
        <v>673</v>
      </c>
      <c r="C279" s="347" t="s">
        <v>261</v>
      </c>
      <c r="D279" s="347"/>
      <c r="E279" s="369" t="s">
        <v>369</v>
      </c>
      <c r="F279" s="369" t="s">
        <v>674</v>
      </c>
      <c r="G279" s="113">
        <v>6477.8639999999996</v>
      </c>
      <c r="H279" s="113"/>
      <c r="I279" s="113"/>
      <c r="J279" s="113"/>
      <c r="K279" s="113">
        <v>6477.8639999999996</v>
      </c>
      <c r="L279" s="113">
        <v>5505.8940000000002</v>
      </c>
      <c r="M279" s="113"/>
      <c r="N279" s="113"/>
      <c r="O279" s="113">
        <v>5505.8940000000002</v>
      </c>
      <c r="P279" s="113">
        <v>5505</v>
      </c>
      <c r="Q279" s="113"/>
      <c r="R279" s="113"/>
      <c r="S279" s="113">
        <v>5505</v>
      </c>
      <c r="T279" s="113">
        <v>705</v>
      </c>
      <c r="U279" s="113"/>
      <c r="V279" s="113"/>
      <c r="W279" s="113"/>
      <c r="X279" s="113">
        <v>705</v>
      </c>
      <c r="Y279" s="228">
        <v>680.19500000000005</v>
      </c>
      <c r="Z279" s="113"/>
      <c r="AA279" s="113"/>
      <c r="AB279" s="113"/>
      <c r="AC279" s="228">
        <v>680.19500000000005</v>
      </c>
      <c r="AD279" s="348">
        <f t="shared" si="15"/>
        <v>0.9648156028368795</v>
      </c>
      <c r="AE279" s="348"/>
      <c r="AF279" s="348"/>
      <c r="AG279" s="348"/>
      <c r="AH279" s="348">
        <f t="shared" si="14"/>
        <v>0.9648156028368795</v>
      </c>
    </row>
    <row r="280" spans="1:34" ht="31.5">
      <c r="A280" s="347" t="s">
        <v>23</v>
      </c>
      <c r="B280" s="337" t="s">
        <v>675</v>
      </c>
      <c r="C280" s="347" t="s">
        <v>261</v>
      </c>
      <c r="D280" s="347"/>
      <c r="E280" s="369" t="s">
        <v>248</v>
      </c>
      <c r="F280" s="369" t="s">
        <v>676</v>
      </c>
      <c r="G280" s="113">
        <v>5152</v>
      </c>
      <c r="H280" s="113"/>
      <c r="I280" s="113"/>
      <c r="J280" s="113"/>
      <c r="K280" s="113">
        <v>5152</v>
      </c>
      <c r="L280" s="113">
        <v>1849</v>
      </c>
      <c r="M280" s="113"/>
      <c r="N280" s="113"/>
      <c r="O280" s="113">
        <v>1849</v>
      </c>
      <c r="P280" s="113">
        <v>1848.8340000000001</v>
      </c>
      <c r="Q280" s="113"/>
      <c r="R280" s="113"/>
      <c r="S280" s="113">
        <v>1848.8340000000001</v>
      </c>
      <c r="T280" s="113">
        <v>48.834000000000003</v>
      </c>
      <c r="U280" s="113"/>
      <c r="V280" s="113"/>
      <c r="W280" s="113"/>
      <c r="X280" s="113">
        <v>48.834000000000003</v>
      </c>
      <c r="Y280" s="113">
        <v>46.287999999999997</v>
      </c>
      <c r="Z280" s="113"/>
      <c r="AA280" s="113"/>
      <c r="AB280" s="113"/>
      <c r="AC280" s="113">
        <v>46.287999999999997</v>
      </c>
      <c r="AD280" s="348">
        <f t="shared" si="15"/>
        <v>0.94786419298030045</v>
      </c>
      <c r="AE280" s="348"/>
      <c r="AF280" s="348"/>
      <c r="AG280" s="348"/>
      <c r="AH280" s="348">
        <f t="shared" si="14"/>
        <v>0.94786419298030045</v>
      </c>
    </row>
    <row r="281" spans="1:34" ht="31.5">
      <c r="A281" s="347" t="s">
        <v>23</v>
      </c>
      <c r="B281" s="337" t="s">
        <v>677</v>
      </c>
      <c r="C281" s="347" t="s">
        <v>383</v>
      </c>
      <c r="D281" s="347"/>
      <c r="E281" s="369" t="s">
        <v>678</v>
      </c>
      <c r="F281" s="369" t="s">
        <v>679</v>
      </c>
      <c r="G281" s="113">
        <v>37077.54</v>
      </c>
      <c r="H281" s="113"/>
      <c r="I281" s="113"/>
      <c r="J281" s="113"/>
      <c r="K281" s="113">
        <v>37077.54</v>
      </c>
      <c r="L281" s="113">
        <v>26376.663</v>
      </c>
      <c r="M281" s="113"/>
      <c r="N281" s="113"/>
      <c r="O281" s="113">
        <v>26376.663</v>
      </c>
      <c r="P281" s="113">
        <v>24868.076000000001</v>
      </c>
      <c r="Q281" s="113"/>
      <c r="R281" s="113"/>
      <c r="S281" s="113">
        <v>24868.076000000001</v>
      </c>
      <c r="T281" s="113">
        <v>7100.8050000000003</v>
      </c>
      <c r="U281" s="113"/>
      <c r="V281" s="113"/>
      <c r="W281" s="113"/>
      <c r="X281" s="113">
        <v>7100.8050000000003</v>
      </c>
      <c r="Y281" s="113">
        <v>6324.6019999999999</v>
      </c>
      <c r="Z281" s="113"/>
      <c r="AA281" s="113"/>
      <c r="AB281" s="113"/>
      <c r="AC281" s="113">
        <v>6324.6019999999999</v>
      </c>
      <c r="AD281" s="348">
        <f t="shared" si="15"/>
        <v>0.89068802762503685</v>
      </c>
      <c r="AE281" s="348"/>
      <c r="AF281" s="348"/>
      <c r="AG281" s="348"/>
      <c r="AH281" s="348">
        <f t="shared" si="14"/>
        <v>0.89068802762503685</v>
      </c>
    </row>
    <row r="282" spans="1:34" ht="31.5">
      <c r="A282" s="347" t="s">
        <v>23</v>
      </c>
      <c r="B282" s="337" t="s">
        <v>680</v>
      </c>
      <c r="C282" s="347" t="s">
        <v>595</v>
      </c>
      <c r="D282" s="347"/>
      <c r="E282" s="369" t="s">
        <v>369</v>
      </c>
      <c r="F282" s="369" t="s">
        <v>681</v>
      </c>
      <c r="G282" s="113">
        <v>10054.379999999999</v>
      </c>
      <c r="H282" s="113"/>
      <c r="I282" s="113"/>
      <c r="J282" s="113"/>
      <c r="K282" s="113">
        <v>10054.379999999999</v>
      </c>
      <c r="L282" s="113">
        <v>8912.8780000000006</v>
      </c>
      <c r="M282" s="113"/>
      <c r="N282" s="113"/>
      <c r="O282" s="113">
        <v>8912.8780000000006</v>
      </c>
      <c r="P282" s="113">
        <v>8911.7759999999998</v>
      </c>
      <c r="Q282" s="113"/>
      <c r="R282" s="113"/>
      <c r="S282" s="113">
        <v>8911.7759999999998</v>
      </c>
      <c r="T282" s="113">
        <v>1364</v>
      </c>
      <c r="U282" s="113"/>
      <c r="V282" s="113"/>
      <c r="W282" s="113"/>
      <c r="X282" s="113">
        <v>1364</v>
      </c>
      <c r="Y282" s="113">
        <v>1364</v>
      </c>
      <c r="Z282" s="113"/>
      <c r="AA282" s="113"/>
      <c r="AB282" s="113"/>
      <c r="AC282" s="113">
        <v>1364</v>
      </c>
      <c r="AD282" s="348">
        <f t="shared" si="15"/>
        <v>1</v>
      </c>
      <c r="AE282" s="348"/>
      <c r="AF282" s="348"/>
      <c r="AG282" s="348"/>
      <c r="AH282" s="348">
        <f t="shared" si="14"/>
        <v>1</v>
      </c>
    </row>
    <row r="283" spans="1:34" ht="78.75">
      <c r="A283" s="347" t="s">
        <v>23</v>
      </c>
      <c r="B283" s="337" t="s">
        <v>682</v>
      </c>
      <c r="C283" s="347" t="s">
        <v>309</v>
      </c>
      <c r="D283" s="347"/>
      <c r="E283" s="369" t="s">
        <v>281</v>
      </c>
      <c r="F283" s="369" t="s">
        <v>683</v>
      </c>
      <c r="G283" s="113">
        <v>3043.88</v>
      </c>
      <c r="H283" s="113">
        <v>2411.4569999999999</v>
      </c>
      <c r="I283" s="113"/>
      <c r="J283" s="113"/>
      <c r="K283" s="113">
        <v>632.423</v>
      </c>
      <c r="L283" s="113">
        <v>2072.7260000000001</v>
      </c>
      <c r="M283" s="113">
        <v>1681.3150000000001</v>
      </c>
      <c r="N283" s="113"/>
      <c r="O283" s="113">
        <v>391.411</v>
      </c>
      <c r="P283" s="113">
        <v>1690</v>
      </c>
      <c r="Q283" s="113">
        <v>1090</v>
      </c>
      <c r="R283" s="113"/>
      <c r="S283" s="113">
        <v>600</v>
      </c>
      <c r="T283" s="113">
        <v>1553</v>
      </c>
      <c r="U283" s="113">
        <v>1090</v>
      </c>
      <c r="V283" s="113"/>
      <c r="W283" s="113"/>
      <c r="X283" s="113">
        <f>T283-U283</f>
        <v>463</v>
      </c>
      <c r="Y283" s="113">
        <v>1338.041391</v>
      </c>
      <c r="Z283" s="113">
        <v>1090</v>
      </c>
      <c r="AA283" s="113"/>
      <c r="AB283" s="113"/>
      <c r="AC283" s="113">
        <v>248.04139099999998</v>
      </c>
      <c r="AD283" s="348">
        <f t="shared" si="15"/>
        <v>0.86158492659368957</v>
      </c>
      <c r="AE283" s="348">
        <f t="shared" si="15"/>
        <v>1</v>
      </c>
      <c r="AF283" s="348"/>
      <c r="AG283" s="348"/>
      <c r="AH283" s="348">
        <f t="shared" si="14"/>
        <v>0.53572654643628503</v>
      </c>
    </row>
    <row r="284" spans="1:34" ht="78.75">
      <c r="A284" s="347" t="s">
        <v>23</v>
      </c>
      <c r="B284" s="337" t="s">
        <v>684</v>
      </c>
      <c r="C284" s="347" t="s">
        <v>476</v>
      </c>
      <c r="D284" s="347"/>
      <c r="E284" s="369" t="s">
        <v>281</v>
      </c>
      <c r="F284" s="369" t="s">
        <v>685</v>
      </c>
      <c r="G284" s="113">
        <v>3291.9780000000001</v>
      </c>
      <c r="H284" s="113">
        <v>2569.5050000000001</v>
      </c>
      <c r="I284" s="113"/>
      <c r="J284" s="113"/>
      <c r="K284" s="113">
        <v>722.47299999999996</v>
      </c>
      <c r="L284" s="113">
        <v>2774.877</v>
      </c>
      <c r="M284" s="113">
        <v>2193.9520000000002</v>
      </c>
      <c r="N284" s="113"/>
      <c r="O284" s="113">
        <v>580.92499999999995</v>
      </c>
      <c r="P284" s="113">
        <v>1759</v>
      </c>
      <c r="Q284" s="113">
        <v>1159</v>
      </c>
      <c r="R284" s="113"/>
      <c r="S284" s="113">
        <v>600</v>
      </c>
      <c r="T284" s="113">
        <v>1622</v>
      </c>
      <c r="U284" s="113">
        <v>1159</v>
      </c>
      <c r="V284" s="113"/>
      <c r="W284" s="113"/>
      <c r="X284" s="113">
        <f>T284-U284</f>
        <v>463</v>
      </c>
      <c r="Y284" s="113">
        <v>1511.126182</v>
      </c>
      <c r="Z284" s="113">
        <v>1159</v>
      </c>
      <c r="AA284" s="113"/>
      <c r="AB284" s="113"/>
      <c r="AC284" s="113">
        <v>352.12618199999997</v>
      </c>
      <c r="AD284" s="348">
        <f t="shared" si="15"/>
        <v>0.93164376202219479</v>
      </c>
      <c r="AE284" s="348">
        <f t="shared" si="15"/>
        <v>1</v>
      </c>
      <c r="AF284" s="348"/>
      <c r="AG284" s="348"/>
      <c r="AH284" s="348">
        <f t="shared" si="14"/>
        <v>0.76053171058315328</v>
      </c>
    </row>
    <row r="285" spans="1:34" ht="78.75">
      <c r="A285" s="347" t="s">
        <v>23</v>
      </c>
      <c r="B285" s="337" t="s">
        <v>686</v>
      </c>
      <c r="C285" s="347" t="s">
        <v>251</v>
      </c>
      <c r="D285" s="347"/>
      <c r="E285" s="369" t="s">
        <v>281</v>
      </c>
      <c r="F285" s="369" t="s">
        <v>687</v>
      </c>
      <c r="G285" s="113">
        <v>2843.2739999999999</v>
      </c>
      <c r="H285" s="113">
        <v>2250.0479999999998</v>
      </c>
      <c r="I285" s="113"/>
      <c r="J285" s="113"/>
      <c r="K285" s="113">
        <v>593.226</v>
      </c>
      <c r="L285" s="113">
        <v>2610.931</v>
      </c>
      <c r="M285" s="113">
        <v>2072.1729999999998</v>
      </c>
      <c r="N285" s="113"/>
      <c r="O285" s="113">
        <v>538.75699999999995</v>
      </c>
      <c r="P285" s="113">
        <v>1598</v>
      </c>
      <c r="Q285" s="113">
        <v>1048</v>
      </c>
      <c r="R285" s="113"/>
      <c r="S285" s="113">
        <v>550</v>
      </c>
      <c r="T285" s="113">
        <v>1471</v>
      </c>
      <c r="U285" s="113">
        <v>1048</v>
      </c>
      <c r="V285" s="113"/>
      <c r="W285" s="113"/>
      <c r="X285" s="113">
        <f>T285-U285</f>
        <v>423</v>
      </c>
      <c r="Y285" s="113">
        <v>1376.818636</v>
      </c>
      <c r="Z285" s="113">
        <v>1048</v>
      </c>
      <c r="AA285" s="113"/>
      <c r="AB285" s="113"/>
      <c r="AC285" s="113">
        <v>328.81863599999997</v>
      </c>
      <c r="AD285" s="348">
        <f t="shared" si="15"/>
        <v>0.93597459959211415</v>
      </c>
      <c r="AE285" s="348">
        <f t="shared" si="15"/>
        <v>1</v>
      </c>
      <c r="AF285" s="348"/>
      <c r="AG285" s="348"/>
      <c r="AH285" s="348">
        <f t="shared" si="14"/>
        <v>0.77734902127659566</v>
      </c>
    </row>
    <row r="286" spans="1:34" ht="78.75">
      <c r="A286" s="347" t="s">
        <v>23</v>
      </c>
      <c r="B286" s="337" t="s">
        <v>688</v>
      </c>
      <c r="C286" s="347" t="s">
        <v>303</v>
      </c>
      <c r="D286" s="347"/>
      <c r="E286" s="369" t="s">
        <v>281</v>
      </c>
      <c r="F286" s="369" t="s">
        <v>689</v>
      </c>
      <c r="G286" s="113">
        <v>3039.5740000000001</v>
      </c>
      <c r="H286" s="113">
        <v>2407.2069999999999</v>
      </c>
      <c r="I286" s="113"/>
      <c r="J286" s="113"/>
      <c r="K286" s="113">
        <v>632.36699999999996</v>
      </c>
      <c r="L286" s="113">
        <v>1725.9490000000001</v>
      </c>
      <c r="M286" s="113">
        <v>1364.626</v>
      </c>
      <c r="N286" s="113"/>
      <c r="O286" s="113">
        <v>361.32299999999998</v>
      </c>
      <c r="P286" s="113">
        <v>1812</v>
      </c>
      <c r="Q286" s="113">
        <v>1212</v>
      </c>
      <c r="R286" s="113"/>
      <c r="S286" s="113">
        <v>600</v>
      </c>
      <c r="T286" s="113">
        <v>1675</v>
      </c>
      <c r="U286" s="113">
        <v>1212</v>
      </c>
      <c r="V286" s="113"/>
      <c r="W286" s="113"/>
      <c r="X286" s="113">
        <f>T286-U286</f>
        <v>463</v>
      </c>
      <c r="Y286" s="113">
        <v>1433.2223730000001</v>
      </c>
      <c r="Z286" s="113">
        <v>1212</v>
      </c>
      <c r="AA286" s="113"/>
      <c r="AB286" s="113"/>
      <c r="AC286" s="113">
        <v>221.22237300000006</v>
      </c>
      <c r="AD286" s="348">
        <f t="shared" si="15"/>
        <v>0.85565514805970155</v>
      </c>
      <c r="AE286" s="348">
        <f t="shared" si="15"/>
        <v>1</v>
      </c>
      <c r="AF286" s="348"/>
      <c r="AG286" s="348"/>
      <c r="AH286" s="348">
        <f t="shared" si="14"/>
        <v>0.47780210151187918</v>
      </c>
    </row>
    <row r="287" spans="1:34" ht="78.75">
      <c r="A287" s="347" t="s">
        <v>23</v>
      </c>
      <c r="B287" s="337" t="s">
        <v>690</v>
      </c>
      <c r="C287" s="347" t="s">
        <v>309</v>
      </c>
      <c r="D287" s="347"/>
      <c r="E287" s="369" t="s">
        <v>281</v>
      </c>
      <c r="F287" s="369" t="s">
        <v>691</v>
      </c>
      <c r="G287" s="113">
        <v>3120.8339999999998</v>
      </c>
      <c r="H287" s="113">
        <v>2473.5630000000001</v>
      </c>
      <c r="I287" s="113"/>
      <c r="J287" s="113"/>
      <c r="K287" s="113">
        <v>647.27099999999996</v>
      </c>
      <c r="L287" s="113">
        <v>2951.462</v>
      </c>
      <c r="M287" s="113">
        <v>2360.6779999999999</v>
      </c>
      <c r="N287" s="113"/>
      <c r="O287" s="113">
        <v>590.78399999999999</v>
      </c>
      <c r="P287" s="113">
        <v>1831</v>
      </c>
      <c r="Q287" s="113">
        <v>1181</v>
      </c>
      <c r="R287" s="113"/>
      <c r="S287" s="113">
        <v>650</v>
      </c>
      <c r="T287" s="113">
        <v>1694</v>
      </c>
      <c r="U287" s="113">
        <v>1181</v>
      </c>
      <c r="V287" s="113"/>
      <c r="W287" s="113"/>
      <c r="X287" s="113">
        <f>T287-U287</f>
        <v>513</v>
      </c>
      <c r="Y287" s="113">
        <v>1541.6608180000001</v>
      </c>
      <c r="Z287" s="113">
        <v>1181</v>
      </c>
      <c r="AA287" s="113"/>
      <c r="AB287" s="113"/>
      <c r="AC287" s="113">
        <v>360.66081800000006</v>
      </c>
      <c r="AD287" s="348">
        <f t="shared" si="15"/>
        <v>0.91007132113341205</v>
      </c>
      <c r="AE287" s="348">
        <f t="shared" si="15"/>
        <v>1</v>
      </c>
      <c r="AF287" s="348"/>
      <c r="AG287" s="348"/>
      <c r="AH287" s="348">
        <f t="shared" si="14"/>
        <v>0.70304253021442509</v>
      </c>
    </row>
    <row r="288" spans="1:34" ht="47.25">
      <c r="A288" s="347" t="s">
        <v>23</v>
      </c>
      <c r="B288" s="337" t="s">
        <v>692</v>
      </c>
      <c r="C288" s="347" t="s">
        <v>261</v>
      </c>
      <c r="D288" s="347"/>
      <c r="E288" s="369" t="s">
        <v>281</v>
      </c>
      <c r="F288" s="369" t="s">
        <v>693</v>
      </c>
      <c r="G288" s="113">
        <v>3160.6120000000001</v>
      </c>
      <c r="H288" s="113"/>
      <c r="I288" s="113"/>
      <c r="J288" s="113"/>
      <c r="K288" s="113">
        <v>3160.6120000000001</v>
      </c>
      <c r="L288" s="113">
        <v>2611</v>
      </c>
      <c r="M288" s="113"/>
      <c r="N288" s="113"/>
      <c r="O288" s="113">
        <v>2611</v>
      </c>
      <c r="P288" s="113">
        <v>2400</v>
      </c>
      <c r="Q288" s="113"/>
      <c r="R288" s="113"/>
      <c r="S288" s="113">
        <v>2400</v>
      </c>
      <c r="T288" s="113">
        <v>1200</v>
      </c>
      <c r="U288" s="113"/>
      <c r="V288" s="113"/>
      <c r="W288" s="113"/>
      <c r="X288" s="113">
        <v>1200</v>
      </c>
      <c r="Y288" s="113">
        <v>1200</v>
      </c>
      <c r="Z288" s="113"/>
      <c r="AA288" s="113"/>
      <c r="AB288" s="113"/>
      <c r="AC288" s="113">
        <v>1200</v>
      </c>
      <c r="AD288" s="348">
        <f t="shared" si="15"/>
        <v>1</v>
      </c>
      <c r="AE288" s="348"/>
      <c r="AF288" s="348"/>
      <c r="AG288" s="348"/>
      <c r="AH288" s="348">
        <f t="shared" si="14"/>
        <v>1</v>
      </c>
    </row>
    <row r="289" spans="1:34" ht="47.25">
      <c r="A289" s="347" t="s">
        <v>23</v>
      </c>
      <c r="B289" s="337" t="s">
        <v>694</v>
      </c>
      <c r="C289" s="347" t="s">
        <v>427</v>
      </c>
      <c r="D289" s="347"/>
      <c r="E289" s="369" t="s">
        <v>281</v>
      </c>
      <c r="F289" s="369" t="s">
        <v>695</v>
      </c>
      <c r="G289" s="113">
        <v>7444.5839999999998</v>
      </c>
      <c r="H289" s="113"/>
      <c r="I289" s="113"/>
      <c r="J289" s="113"/>
      <c r="K289" s="113">
        <v>7444.5839999999998</v>
      </c>
      <c r="L289" s="113">
        <v>7245</v>
      </c>
      <c r="M289" s="113"/>
      <c r="N289" s="113"/>
      <c r="O289" s="113">
        <v>7245</v>
      </c>
      <c r="P289" s="113">
        <v>6315.6269279999997</v>
      </c>
      <c r="Q289" s="113"/>
      <c r="R289" s="113"/>
      <c r="S289" s="113">
        <v>6315.6269279999997</v>
      </c>
      <c r="T289" s="113">
        <v>5200.6269279999997</v>
      </c>
      <c r="U289" s="113"/>
      <c r="V289" s="113"/>
      <c r="W289" s="113"/>
      <c r="X289" s="113">
        <v>5200.6269279999997</v>
      </c>
      <c r="Y289" s="113">
        <v>5200.6269279999997</v>
      </c>
      <c r="Z289" s="113"/>
      <c r="AA289" s="113"/>
      <c r="AB289" s="113"/>
      <c r="AC289" s="113">
        <v>5200.6269279999997</v>
      </c>
      <c r="AD289" s="348">
        <f t="shared" si="15"/>
        <v>1</v>
      </c>
      <c r="AE289" s="348"/>
      <c r="AF289" s="348"/>
      <c r="AG289" s="348"/>
      <c r="AH289" s="348">
        <f t="shared" si="14"/>
        <v>1</v>
      </c>
    </row>
    <row r="290" spans="1:34" ht="63">
      <c r="A290" s="347" t="s">
        <v>23</v>
      </c>
      <c r="B290" s="337" t="s">
        <v>696</v>
      </c>
      <c r="C290" s="347" t="s">
        <v>595</v>
      </c>
      <c r="D290" s="347"/>
      <c r="E290" s="369" t="s">
        <v>281</v>
      </c>
      <c r="F290" s="369" t="s">
        <v>697</v>
      </c>
      <c r="G290" s="113">
        <v>2286.7930000000001</v>
      </c>
      <c r="H290" s="113"/>
      <c r="I290" s="113"/>
      <c r="J290" s="113"/>
      <c r="K290" s="113">
        <v>2286.7930000000001</v>
      </c>
      <c r="L290" s="113">
        <v>2059</v>
      </c>
      <c r="M290" s="113"/>
      <c r="N290" s="113"/>
      <c r="O290" s="113">
        <v>2059</v>
      </c>
      <c r="P290" s="113">
        <v>2059.096</v>
      </c>
      <c r="Q290" s="113"/>
      <c r="R290" s="113"/>
      <c r="S290" s="113">
        <v>2059.096</v>
      </c>
      <c r="T290" s="113">
        <v>1259.096</v>
      </c>
      <c r="U290" s="113"/>
      <c r="V290" s="113"/>
      <c r="W290" s="113"/>
      <c r="X290" s="113">
        <v>1259.096</v>
      </c>
      <c r="Y290" s="113">
        <v>1217.57</v>
      </c>
      <c r="Z290" s="113"/>
      <c r="AA290" s="113"/>
      <c r="AB290" s="113"/>
      <c r="AC290" s="113">
        <v>1217.57</v>
      </c>
      <c r="AD290" s="348">
        <f t="shared" si="15"/>
        <v>0.96701919472383358</v>
      </c>
      <c r="AE290" s="348"/>
      <c r="AF290" s="348"/>
      <c r="AG290" s="348"/>
      <c r="AH290" s="348">
        <f t="shared" si="14"/>
        <v>0.96701919472383358</v>
      </c>
    </row>
    <row r="291" spans="1:34" ht="31.5">
      <c r="A291" s="347" t="s">
        <v>23</v>
      </c>
      <c r="B291" s="337" t="s">
        <v>698</v>
      </c>
      <c r="C291" s="347" t="s">
        <v>351</v>
      </c>
      <c r="D291" s="347"/>
      <c r="E291" s="369" t="s">
        <v>218</v>
      </c>
      <c r="F291" s="369" t="s">
        <v>699</v>
      </c>
      <c r="G291" s="113">
        <v>33233.834999999999</v>
      </c>
      <c r="H291" s="113"/>
      <c r="I291" s="113"/>
      <c r="J291" s="113"/>
      <c r="K291" s="113">
        <v>33233.834999999999</v>
      </c>
      <c r="L291" s="113">
        <v>9928.6710000000003</v>
      </c>
      <c r="M291" s="113"/>
      <c r="N291" s="113"/>
      <c r="O291" s="113">
        <v>9928.6710000000003</v>
      </c>
      <c r="P291" s="113">
        <v>13000</v>
      </c>
      <c r="Q291" s="113"/>
      <c r="R291" s="113"/>
      <c r="S291" s="113">
        <v>13000</v>
      </c>
      <c r="T291" s="113">
        <v>9222</v>
      </c>
      <c r="U291" s="113"/>
      <c r="V291" s="113"/>
      <c r="W291" s="113"/>
      <c r="X291" s="113">
        <v>9222</v>
      </c>
      <c r="Y291" s="113">
        <v>6129</v>
      </c>
      <c r="Z291" s="113"/>
      <c r="AA291" s="113"/>
      <c r="AB291" s="113"/>
      <c r="AC291" s="113">
        <v>6129</v>
      </c>
      <c r="AD291" s="348">
        <f t="shared" si="15"/>
        <v>0.66460637605725437</v>
      </c>
      <c r="AE291" s="348"/>
      <c r="AF291" s="348"/>
      <c r="AG291" s="348"/>
      <c r="AH291" s="348">
        <f t="shared" si="14"/>
        <v>0.66460637605725437</v>
      </c>
    </row>
    <row r="292" spans="1:34" ht="31.5">
      <c r="A292" s="347" t="s">
        <v>23</v>
      </c>
      <c r="B292" s="337" t="s">
        <v>700</v>
      </c>
      <c r="C292" s="347" t="s">
        <v>427</v>
      </c>
      <c r="D292" s="347"/>
      <c r="E292" s="369" t="s">
        <v>281</v>
      </c>
      <c r="F292" s="369" t="s">
        <v>701</v>
      </c>
      <c r="G292" s="113">
        <v>33989.572999999997</v>
      </c>
      <c r="H292" s="113"/>
      <c r="I292" s="113"/>
      <c r="J292" s="113"/>
      <c r="K292" s="113">
        <v>33989.572999999997</v>
      </c>
      <c r="L292" s="113">
        <v>28933</v>
      </c>
      <c r="M292" s="113"/>
      <c r="N292" s="113"/>
      <c r="O292" s="113">
        <v>28933</v>
      </c>
      <c r="P292" s="113">
        <v>21000</v>
      </c>
      <c r="Q292" s="113"/>
      <c r="R292" s="113"/>
      <c r="S292" s="113">
        <v>21000</v>
      </c>
      <c r="T292" s="113">
        <v>17870</v>
      </c>
      <c r="U292" s="113"/>
      <c r="V292" s="113"/>
      <c r="W292" s="113"/>
      <c r="X292" s="113">
        <v>17870</v>
      </c>
      <c r="Y292" s="113">
        <v>17870</v>
      </c>
      <c r="Z292" s="113"/>
      <c r="AA292" s="113"/>
      <c r="AB292" s="113"/>
      <c r="AC292" s="113">
        <v>17870</v>
      </c>
      <c r="AD292" s="348">
        <f t="shared" si="15"/>
        <v>1</v>
      </c>
      <c r="AE292" s="348"/>
      <c r="AF292" s="348"/>
      <c r="AG292" s="348"/>
      <c r="AH292" s="348">
        <f t="shared" si="14"/>
        <v>1</v>
      </c>
    </row>
    <row r="293" spans="1:34" ht="63">
      <c r="A293" s="347" t="s">
        <v>23</v>
      </c>
      <c r="B293" s="337" t="s">
        <v>702</v>
      </c>
      <c r="C293" s="347" t="s">
        <v>213</v>
      </c>
      <c r="D293" s="347"/>
      <c r="E293" s="369" t="s">
        <v>281</v>
      </c>
      <c r="F293" s="369" t="s">
        <v>703</v>
      </c>
      <c r="G293" s="113">
        <v>3822.3020000000001</v>
      </c>
      <c r="H293" s="113"/>
      <c r="I293" s="113"/>
      <c r="J293" s="113"/>
      <c r="K293" s="113">
        <v>3822.3020000000001</v>
      </c>
      <c r="L293" s="113">
        <v>3768</v>
      </c>
      <c r="M293" s="113"/>
      <c r="N293" s="113"/>
      <c r="O293" s="113">
        <v>3768</v>
      </c>
      <c r="P293" s="113">
        <v>2700</v>
      </c>
      <c r="Q293" s="113"/>
      <c r="R293" s="113"/>
      <c r="S293" s="113">
        <v>2700</v>
      </c>
      <c r="T293" s="113">
        <v>1300</v>
      </c>
      <c r="U293" s="113"/>
      <c r="V293" s="113"/>
      <c r="W293" s="113"/>
      <c r="X293" s="113">
        <v>1300</v>
      </c>
      <c r="Y293" s="113">
        <v>1300</v>
      </c>
      <c r="Z293" s="113"/>
      <c r="AA293" s="113"/>
      <c r="AB293" s="113"/>
      <c r="AC293" s="113">
        <v>1300</v>
      </c>
      <c r="AD293" s="348">
        <f t="shared" si="15"/>
        <v>1</v>
      </c>
      <c r="AE293" s="348"/>
      <c r="AF293" s="348"/>
      <c r="AG293" s="348"/>
      <c r="AH293" s="348">
        <f t="shared" si="14"/>
        <v>1</v>
      </c>
    </row>
    <row r="294" spans="1:34" ht="47.25">
      <c r="A294" s="347" t="s">
        <v>23</v>
      </c>
      <c r="B294" s="337" t="s">
        <v>704</v>
      </c>
      <c r="C294" s="347" t="s">
        <v>600</v>
      </c>
      <c r="D294" s="347"/>
      <c r="E294" s="369" t="s">
        <v>281</v>
      </c>
      <c r="F294" s="369" t="s">
        <v>705</v>
      </c>
      <c r="G294" s="113">
        <v>5815.98</v>
      </c>
      <c r="H294" s="113"/>
      <c r="I294" s="113"/>
      <c r="J294" s="113"/>
      <c r="K294" s="113">
        <v>5815.98</v>
      </c>
      <c r="L294" s="113">
        <v>5768</v>
      </c>
      <c r="M294" s="113"/>
      <c r="N294" s="113"/>
      <c r="O294" s="113">
        <v>5768</v>
      </c>
      <c r="P294" s="113">
        <v>3500</v>
      </c>
      <c r="Q294" s="113"/>
      <c r="R294" s="113"/>
      <c r="S294" s="113">
        <v>3500</v>
      </c>
      <c r="T294" s="113">
        <v>2937</v>
      </c>
      <c r="U294" s="113"/>
      <c r="V294" s="113"/>
      <c r="W294" s="113"/>
      <c r="X294" s="113">
        <v>2937</v>
      </c>
      <c r="Y294" s="113">
        <v>2937</v>
      </c>
      <c r="Z294" s="113"/>
      <c r="AA294" s="113"/>
      <c r="AB294" s="113"/>
      <c r="AC294" s="113">
        <v>2937</v>
      </c>
      <c r="AD294" s="348">
        <f t="shared" si="15"/>
        <v>1</v>
      </c>
      <c r="AE294" s="348"/>
      <c r="AF294" s="348"/>
      <c r="AG294" s="348"/>
      <c r="AH294" s="348">
        <f t="shared" si="14"/>
        <v>1</v>
      </c>
    </row>
    <row r="295" spans="1:34" ht="63">
      <c r="A295" s="347" t="s">
        <v>23</v>
      </c>
      <c r="B295" s="337" t="s">
        <v>706</v>
      </c>
      <c r="C295" s="347" t="s">
        <v>476</v>
      </c>
      <c r="D295" s="347"/>
      <c r="E295" s="369" t="s">
        <v>281</v>
      </c>
      <c r="F295" s="369" t="s">
        <v>707</v>
      </c>
      <c r="G295" s="113">
        <v>3229.2710000000002</v>
      </c>
      <c r="H295" s="113"/>
      <c r="I295" s="113"/>
      <c r="J295" s="113"/>
      <c r="K295" s="113">
        <v>3229.2710000000002</v>
      </c>
      <c r="L295" s="113">
        <v>2857</v>
      </c>
      <c r="M295" s="113"/>
      <c r="N295" s="113"/>
      <c r="O295" s="113">
        <v>2857</v>
      </c>
      <c r="P295" s="113">
        <v>2856.6819999999998</v>
      </c>
      <c r="Q295" s="113"/>
      <c r="R295" s="113"/>
      <c r="S295" s="113">
        <v>2856.6819999999998</v>
      </c>
      <c r="T295" s="113">
        <v>1956.682</v>
      </c>
      <c r="U295" s="113"/>
      <c r="V295" s="113"/>
      <c r="W295" s="113"/>
      <c r="X295" s="113">
        <v>1956.682</v>
      </c>
      <c r="Y295" s="113">
        <v>1944.732</v>
      </c>
      <c r="Z295" s="113"/>
      <c r="AA295" s="113"/>
      <c r="AB295" s="113"/>
      <c r="AC295" s="113">
        <v>1944.732</v>
      </c>
      <c r="AD295" s="348">
        <f t="shared" si="15"/>
        <v>0.99389272247611005</v>
      </c>
      <c r="AE295" s="348"/>
      <c r="AF295" s="348"/>
      <c r="AG295" s="348"/>
      <c r="AH295" s="348">
        <f t="shared" si="14"/>
        <v>0.99389272247611005</v>
      </c>
    </row>
    <row r="296" spans="1:34" ht="31.5">
      <c r="A296" s="347" t="s">
        <v>23</v>
      </c>
      <c r="B296" s="337" t="s">
        <v>708</v>
      </c>
      <c r="C296" s="347" t="s">
        <v>476</v>
      </c>
      <c r="D296" s="347"/>
      <c r="E296" s="369">
        <v>2015</v>
      </c>
      <c r="F296" s="369" t="s">
        <v>709</v>
      </c>
      <c r="G296" s="113">
        <v>315.97899999999998</v>
      </c>
      <c r="H296" s="113"/>
      <c r="I296" s="113"/>
      <c r="J296" s="113"/>
      <c r="K296" s="113">
        <v>315.97899999999998</v>
      </c>
      <c r="L296" s="113">
        <v>312.88499999999999</v>
      </c>
      <c r="M296" s="113"/>
      <c r="N296" s="113"/>
      <c r="O296" s="113">
        <v>312.88499999999999</v>
      </c>
      <c r="P296" s="113">
        <v>312.88499999999999</v>
      </c>
      <c r="Q296" s="113"/>
      <c r="R296" s="113"/>
      <c r="S296" s="113">
        <v>312.88499999999999</v>
      </c>
      <c r="T296" s="113">
        <v>320</v>
      </c>
      <c r="U296" s="113"/>
      <c r="V296" s="113"/>
      <c r="W296" s="113"/>
      <c r="X296" s="113">
        <v>320</v>
      </c>
      <c r="Y296" s="113">
        <v>312.88499999999999</v>
      </c>
      <c r="Z296" s="113"/>
      <c r="AA296" s="113"/>
      <c r="AB296" s="113"/>
      <c r="AC296" s="113">
        <v>312.88499999999999</v>
      </c>
      <c r="AD296" s="348">
        <f t="shared" si="15"/>
        <v>0.97776562499999997</v>
      </c>
      <c r="AE296" s="348"/>
      <c r="AF296" s="348"/>
      <c r="AG296" s="348"/>
      <c r="AH296" s="348">
        <f t="shared" si="14"/>
        <v>0.97776562499999997</v>
      </c>
    </row>
    <row r="297" spans="1:34" ht="31.5">
      <c r="A297" s="347" t="s">
        <v>23</v>
      </c>
      <c r="B297" s="337" t="s">
        <v>710</v>
      </c>
      <c r="C297" s="347" t="s">
        <v>284</v>
      </c>
      <c r="D297" s="347"/>
      <c r="E297" s="369">
        <v>2015</v>
      </c>
      <c r="F297" s="369" t="s">
        <v>711</v>
      </c>
      <c r="G297" s="113">
        <v>314.25200000000001</v>
      </c>
      <c r="H297" s="113"/>
      <c r="I297" s="113"/>
      <c r="J297" s="113"/>
      <c r="K297" s="113">
        <v>314.25200000000001</v>
      </c>
      <c r="L297" s="113">
        <v>314.25200000000001</v>
      </c>
      <c r="M297" s="113"/>
      <c r="N297" s="113"/>
      <c r="O297" s="113">
        <v>314.25200000000001</v>
      </c>
      <c r="P297" s="113">
        <v>314.25200000000001</v>
      </c>
      <c r="Q297" s="113"/>
      <c r="R297" s="113"/>
      <c r="S297" s="113">
        <v>314.25200000000001</v>
      </c>
      <c r="T297" s="113">
        <v>320</v>
      </c>
      <c r="U297" s="113"/>
      <c r="V297" s="113"/>
      <c r="W297" s="113"/>
      <c r="X297" s="113">
        <v>320</v>
      </c>
      <c r="Y297" s="113">
        <v>314.25200000000001</v>
      </c>
      <c r="Z297" s="113"/>
      <c r="AA297" s="113"/>
      <c r="AB297" s="113"/>
      <c r="AC297" s="113">
        <v>314.25200000000001</v>
      </c>
      <c r="AD297" s="348">
        <f t="shared" si="15"/>
        <v>0.98203750000000001</v>
      </c>
      <c r="AE297" s="348"/>
      <c r="AF297" s="348"/>
      <c r="AG297" s="348"/>
      <c r="AH297" s="348">
        <f t="shared" si="14"/>
        <v>0.98203750000000001</v>
      </c>
    </row>
    <row r="298" spans="1:34" ht="31.5">
      <c r="A298" s="347" t="s">
        <v>23</v>
      </c>
      <c r="B298" s="337" t="s">
        <v>712</v>
      </c>
      <c r="C298" s="347" t="s">
        <v>284</v>
      </c>
      <c r="D298" s="347"/>
      <c r="E298" s="369">
        <v>2015</v>
      </c>
      <c r="F298" s="369" t="s">
        <v>713</v>
      </c>
      <c r="G298" s="113">
        <v>311.56</v>
      </c>
      <c r="H298" s="113"/>
      <c r="I298" s="113"/>
      <c r="J298" s="113"/>
      <c r="K298" s="113">
        <v>311.56</v>
      </c>
      <c r="L298" s="113">
        <v>308.48500000000001</v>
      </c>
      <c r="M298" s="113"/>
      <c r="N298" s="113"/>
      <c r="O298" s="113">
        <v>308.48500000000001</v>
      </c>
      <c r="P298" s="113">
        <v>308.48500000000001</v>
      </c>
      <c r="Q298" s="113"/>
      <c r="R298" s="113"/>
      <c r="S298" s="113">
        <v>308.48500000000001</v>
      </c>
      <c r="T298" s="113">
        <v>320</v>
      </c>
      <c r="U298" s="113"/>
      <c r="V298" s="113"/>
      <c r="W298" s="113"/>
      <c r="X298" s="113">
        <v>320</v>
      </c>
      <c r="Y298" s="113">
        <v>308.48500000000001</v>
      </c>
      <c r="Z298" s="113"/>
      <c r="AA298" s="113"/>
      <c r="AB298" s="113"/>
      <c r="AC298" s="113">
        <v>308.48500000000001</v>
      </c>
      <c r="AD298" s="348">
        <f t="shared" si="15"/>
        <v>0.96401562500000004</v>
      </c>
      <c r="AE298" s="348"/>
      <c r="AF298" s="348"/>
      <c r="AG298" s="348"/>
      <c r="AH298" s="348">
        <f t="shared" si="14"/>
        <v>0.96401562500000004</v>
      </c>
    </row>
    <row r="299" spans="1:34" ht="31.5">
      <c r="A299" s="347" t="s">
        <v>23</v>
      </c>
      <c r="B299" s="337" t="s">
        <v>714</v>
      </c>
      <c r="C299" s="347" t="s">
        <v>476</v>
      </c>
      <c r="D299" s="347"/>
      <c r="E299" s="369">
        <v>2015</v>
      </c>
      <c r="F299" s="369" t="s">
        <v>715</v>
      </c>
      <c r="G299" s="113">
        <v>315.154</v>
      </c>
      <c r="H299" s="113"/>
      <c r="I299" s="113"/>
      <c r="J299" s="113"/>
      <c r="K299" s="113">
        <v>315.154</v>
      </c>
      <c r="L299" s="113">
        <v>315.08499999999998</v>
      </c>
      <c r="M299" s="113"/>
      <c r="N299" s="113"/>
      <c r="O299" s="113">
        <v>315.08499999999998</v>
      </c>
      <c r="P299" s="113">
        <v>315.08499999999998</v>
      </c>
      <c r="Q299" s="113"/>
      <c r="R299" s="113"/>
      <c r="S299" s="113">
        <v>315.08499999999998</v>
      </c>
      <c r="T299" s="113">
        <v>320</v>
      </c>
      <c r="U299" s="113"/>
      <c r="V299" s="113"/>
      <c r="W299" s="113"/>
      <c r="X299" s="113">
        <v>320</v>
      </c>
      <c r="Y299" s="113">
        <v>315.08499999999998</v>
      </c>
      <c r="Z299" s="113"/>
      <c r="AA299" s="113"/>
      <c r="AB299" s="113"/>
      <c r="AC299" s="113">
        <v>315.08499999999998</v>
      </c>
      <c r="AD299" s="348">
        <f t="shared" si="15"/>
        <v>0.98464062499999994</v>
      </c>
      <c r="AE299" s="348"/>
      <c r="AF299" s="348"/>
      <c r="AG299" s="348"/>
      <c r="AH299" s="348">
        <f t="shared" si="14"/>
        <v>0.98464062499999994</v>
      </c>
    </row>
    <row r="300" spans="1:34" ht="31.5">
      <c r="A300" s="347" t="s">
        <v>23</v>
      </c>
      <c r="B300" s="337" t="s">
        <v>716</v>
      </c>
      <c r="C300" s="347" t="s">
        <v>362</v>
      </c>
      <c r="D300" s="347"/>
      <c r="E300" s="369">
        <v>2015</v>
      </c>
      <c r="F300" s="369" t="s">
        <v>717</v>
      </c>
      <c r="G300" s="113">
        <v>315.97899999999998</v>
      </c>
      <c r="H300" s="113"/>
      <c r="I300" s="113"/>
      <c r="J300" s="113"/>
      <c r="K300" s="113">
        <v>315.97899999999998</v>
      </c>
      <c r="L300" s="113">
        <v>311.40199999999999</v>
      </c>
      <c r="M300" s="113"/>
      <c r="N300" s="113"/>
      <c r="O300" s="113">
        <v>311.40199999999999</v>
      </c>
      <c r="P300" s="113">
        <v>311.40199999999999</v>
      </c>
      <c r="Q300" s="113"/>
      <c r="R300" s="113"/>
      <c r="S300" s="113">
        <v>311.40199999999999</v>
      </c>
      <c r="T300" s="113">
        <v>320</v>
      </c>
      <c r="U300" s="113"/>
      <c r="V300" s="113"/>
      <c r="W300" s="113"/>
      <c r="X300" s="113">
        <v>320</v>
      </c>
      <c r="Y300" s="113">
        <v>311.40199999999999</v>
      </c>
      <c r="Z300" s="113"/>
      <c r="AA300" s="113"/>
      <c r="AB300" s="113"/>
      <c r="AC300" s="113">
        <v>311.40199999999999</v>
      </c>
      <c r="AD300" s="348">
        <f t="shared" si="15"/>
        <v>0.97313125</v>
      </c>
      <c r="AE300" s="348"/>
      <c r="AF300" s="348"/>
      <c r="AG300" s="348"/>
      <c r="AH300" s="348">
        <f t="shared" si="14"/>
        <v>0.97313125</v>
      </c>
    </row>
    <row r="301" spans="1:34" ht="31.5">
      <c r="A301" s="347" t="s">
        <v>23</v>
      </c>
      <c r="B301" s="337" t="s">
        <v>718</v>
      </c>
      <c r="C301" s="347" t="s">
        <v>362</v>
      </c>
      <c r="D301" s="347"/>
      <c r="E301" s="369">
        <v>2015</v>
      </c>
      <c r="F301" s="369" t="s">
        <v>719</v>
      </c>
      <c r="G301" s="113">
        <v>315.125</v>
      </c>
      <c r="H301" s="113"/>
      <c r="I301" s="113"/>
      <c r="J301" s="113"/>
      <c r="K301" s="113">
        <v>315.125</v>
      </c>
      <c r="L301" s="113">
        <v>312.07100000000003</v>
      </c>
      <c r="M301" s="113"/>
      <c r="N301" s="113"/>
      <c r="O301" s="113">
        <v>312.07100000000003</v>
      </c>
      <c r="P301" s="113">
        <v>312.07100000000003</v>
      </c>
      <c r="Q301" s="113"/>
      <c r="R301" s="113"/>
      <c r="S301" s="113">
        <v>312.07100000000003</v>
      </c>
      <c r="T301" s="113">
        <v>320</v>
      </c>
      <c r="U301" s="113"/>
      <c r="V301" s="113"/>
      <c r="W301" s="113"/>
      <c r="X301" s="113">
        <v>320</v>
      </c>
      <c r="Y301" s="113">
        <v>312.07100000000003</v>
      </c>
      <c r="Z301" s="113"/>
      <c r="AA301" s="113"/>
      <c r="AB301" s="113"/>
      <c r="AC301" s="113">
        <v>312.07100000000003</v>
      </c>
      <c r="AD301" s="348">
        <f t="shared" si="15"/>
        <v>0.97522187500000013</v>
      </c>
      <c r="AE301" s="348"/>
      <c r="AF301" s="348"/>
      <c r="AG301" s="348"/>
      <c r="AH301" s="348">
        <f t="shared" si="14"/>
        <v>0.97522187500000013</v>
      </c>
    </row>
    <row r="302" spans="1:34" ht="31.5">
      <c r="A302" s="347" t="s">
        <v>23</v>
      </c>
      <c r="B302" s="337" t="s">
        <v>720</v>
      </c>
      <c r="C302" s="347" t="s">
        <v>309</v>
      </c>
      <c r="D302" s="347"/>
      <c r="E302" s="369">
        <v>2015</v>
      </c>
      <c r="F302" s="369" t="s">
        <v>721</v>
      </c>
      <c r="G302" s="113">
        <v>318.40600000000001</v>
      </c>
      <c r="H302" s="113"/>
      <c r="I302" s="113"/>
      <c r="J302" s="113"/>
      <c r="K302" s="113">
        <v>318.40600000000001</v>
      </c>
      <c r="L302" s="113">
        <v>297.49200000000002</v>
      </c>
      <c r="M302" s="113"/>
      <c r="N302" s="113"/>
      <c r="O302" s="113">
        <v>297.49200000000002</v>
      </c>
      <c r="P302" s="113">
        <v>297.49200000000002</v>
      </c>
      <c r="Q302" s="113"/>
      <c r="R302" s="113"/>
      <c r="S302" s="113">
        <v>297.49200000000002</v>
      </c>
      <c r="T302" s="113">
        <v>320</v>
      </c>
      <c r="U302" s="113"/>
      <c r="V302" s="113"/>
      <c r="W302" s="113"/>
      <c r="X302" s="113">
        <v>320</v>
      </c>
      <c r="Y302" s="113">
        <v>297.49200000000002</v>
      </c>
      <c r="Z302" s="113"/>
      <c r="AA302" s="113"/>
      <c r="AB302" s="113"/>
      <c r="AC302" s="113">
        <v>297.49200000000002</v>
      </c>
      <c r="AD302" s="348">
        <f t="shared" si="15"/>
        <v>0.92966250000000006</v>
      </c>
      <c r="AE302" s="348"/>
      <c r="AF302" s="348"/>
      <c r="AG302" s="348"/>
      <c r="AH302" s="348">
        <f t="shared" si="14"/>
        <v>0.92966250000000006</v>
      </c>
    </row>
    <row r="303" spans="1:34" ht="31.5">
      <c r="A303" s="347" t="s">
        <v>23</v>
      </c>
      <c r="B303" s="337" t="s">
        <v>722</v>
      </c>
      <c r="C303" s="347" t="s">
        <v>309</v>
      </c>
      <c r="D303" s="347"/>
      <c r="E303" s="369">
        <v>2015</v>
      </c>
      <c r="F303" s="369" t="s">
        <v>723</v>
      </c>
      <c r="G303" s="113">
        <v>318.47899999999998</v>
      </c>
      <c r="H303" s="113"/>
      <c r="I303" s="113"/>
      <c r="J303" s="113"/>
      <c r="K303" s="113">
        <v>318.47899999999998</v>
      </c>
      <c r="L303" s="113">
        <v>297.59399999999999</v>
      </c>
      <c r="M303" s="113"/>
      <c r="N303" s="113"/>
      <c r="O303" s="113">
        <v>297.59399999999999</v>
      </c>
      <c r="P303" s="113">
        <v>297.59399999999999</v>
      </c>
      <c r="Q303" s="113"/>
      <c r="R303" s="113"/>
      <c r="S303" s="113">
        <v>297.59399999999999</v>
      </c>
      <c r="T303" s="113">
        <v>320</v>
      </c>
      <c r="U303" s="113"/>
      <c r="V303" s="113"/>
      <c r="W303" s="113"/>
      <c r="X303" s="113">
        <v>320</v>
      </c>
      <c r="Y303" s="113">
        <v>297.59399999999999</v>
      </c>
      <c r="Z303" s="113"/>
      <c r="AA303" s="113"/>
      <c r="AB303" s="113"/>
      <c r="AC303" s="113">
        <v>297.59399999999999</v>
      </c>
      <c r="AD303" s="348">
        <f t="shared" si="15"/>
        <v>0.92998124999999998</v>
      </c>
      <c r="AE303" s="348"/>
      <c r="AF303" s="348"/>
      <c r="AG303" s="348"/>
      <c r="AH303" s="348">
        <f t="shared" si="14"/>
        <v>0.92998124999999998</v>
      </c>
    </row>
    <row r="304" spans="1:34" ht="31.5">
      <c r="A304" s="347" t="s">
        <v>23</v>
      </c>
      <c r="B304" s="337" t="s">
        <v>724</v>
      </c>
      <c r="C304" s="347" t="s">
        <v>287</v>
      </c>
      <c r="D304" s="347"/>
      <c r="E304" s="369">
        <v>2015</v>
      </c>
      <c r="F304" s="369" t="s">
        <v>725</v>
      </c>
      <c r="G304" s="113">
        <v>310.82400000000001</v>
      </c>
      <c r="H304" s="113"/>
      <c r="I304" s="113"/>
      <c r="J304" s="113"/>
      <c r="K304" s="113">
        <v>310.82400000000001</v>
      </c>
      <c r="L304" s="113">
        <v>307.81200000000001</v>
      </c>
      <c r="M304" s="113"/>
      <c r="N304" s="113"/>
      <c r="O304" s="113">
        <v>307.81200000000001</v>
      </c>
      <c r="P304" s="113">
        <v>307.81200000000001</v>
      </c>
      <c r="Q304" s="113"/>
      <c r="R304" s="113"/>
      <c r="S304" s="113">
        <v>307.81200000000001</v>
      </c>
      <c r="T304" s="113">
        <v>320</v>
      </c>
      <c r="U304" s="113"/>
      <c r="V304" s="113"/>
      <c r="W304" s="113"/>
      <c r="X304" s="113">
        <v>320</v>
      </c>
      <c r="Y304" s="113">
        <v>307.81200000000001</v>
      </c>
      <c r="Z304" s="113"/>
      <c r="AA304" s="113"/>
      <c r="AB304" s="113"/>
      <c r="AC304" s="113">
        <v>307.81200000000001</v>
      </c>
      <c r="AD304" s="348">
        <f t="shared" si="15"/>
        <v>0.96191250000000006</v>
      </c>
      <c r="AE304" s="348"/>
      <c r="AF304" s="348"/>
      <c r="AG304" s="348"/>
      <c r="AH304" s="348">
        <f t="shared" si="14"/>
        <v>0.96191250000000006</v>
      </c>
    </row>
    <row r="305" spans="1:35" s="346" customFormat="1">
      <c r="A305" s="334">
        <v>52</v>
      </c>
      <c r="B305" s="335" t="s">
        <v>177</v>
      </c>
      <c r="C305" s="334"/>
      <c r="D305" s="334"/>
      <c r="E305" s="357"/>
      <c r="F305" s="357"/>
      <c r="G305" s="345"/>
      <c r="H305" s="345"/>
      <c r="I305" s="345"/>
      <c r="J305" s="345"/>
      <c r="K305" s="345"/>
      <c r="L305" s="345"/>
      <c r="M305" s="345"/>
      <c r="N305" s="345"/>
      <c r="O305" s="345"/>
      <c r="P305" s="345"/>
      <c r="Q305" s="345"/>
      <c r="R305" s="345"/>
      <c r="S305" s="345"/>
      <c r="T305" s="345"/>
      <c r="U305" s="345"/>
      <c r="V305" s="345"/>
      <c r="W305" s="345"/>
      <c r="X305" s="345"/>
      <c r="Y305" s="345"/>
      <c r="Z305" s="345"/>
      <c r="AA305" s="345"/>
      <c r="AB305" s="345"/>
      <c r="AC305" s="345"/>
      <c r="AD305" s="348"/>
      <c r="AE305" s="348"/>
      <c r="AF305" s="348"/>
      <c r="AG305" s="348"/>
      <c r="AH305" s="348"/>
    </row>
    <row r="306" spans="1:35" ht="47.25">
      <c r="A306" s="347" t="s">
        <v>23</v>
      </c>
      <c r="B306" s="337" t="s">
        <v>726</v>
      </c>
      <c r="C306" s="347" t="s">
        <v>284</v>
      </c>
      <c r="D306" s="347"/>
      <c r="E306" s="369" t="s">
        <v>471</v>
      </c>
      <c r="F306" s="369" t="s">
        <v>727</v>
      </c>
      <c r="G306" s="113">
        <v>522506</v>
      </c>
      <c r="H306" s="113"/>
      <c r="I306" s="113">
        <v>445170</v>
      </c>
      <c r="J306" s="113"/>
      <c r="K306" s="113">
        <v>77336</v>
      </c>
      <c r="L306" s="113">
        <v>490079</v>
      </c>
      <c r="M306" s="113"/>
      <c r="N306" s="113">
        <v>445170</v>
      </c>
      <c r="O306" s="113">
        <v>44909</v>
      </c>
      <c r="P306" s="113">
        <v>490079</v>
      </c>
      <c r="Q306" s="113"/>
      <c r="R306" s="113">
        <v>445170</v>
      </c>
      <c r="S306" s="113">
        <v>44909</v>
      </c>
      <c r="T306" s="113">
        <v>44908.58</v>
      </c>
      <c r="U306" s="113"/>
      <c r="V306" s="113"/>
      <c r="W306" s="113"/>
      <c r="X306" s="113">
        <v>44908.58</v>
      </c>
      <c r="Y306" s="113">
        <v>43291.387863999997</v>
      </c>
      <c r="Z306" s="113"/>
      <c r="AA306" s="113"/>
      <c r="AB306" s="113"/>
      <c r="AC306" s="113">
        <v>43291.387863999997</v>
      </c>
      <c r="AD306" s="348">
        <f t="shared" si="15"/>
        <v>0.96398923911644485</v>
      </c>
      <c r="AE306" s="348"/>
      <c r="AF306" s="348"/>
      <c r="AG306" s="348"/>
      <c r="AH306" s="348">
        <f t="shared" ref="AH306:AH317" si="16">AC306/X306</f>
        <v>0.96398923911644485</v>
      </c>
    </row>
    <row r="307" spans="1:35" ht="47.25">
      <c r="A307" s="347" t="s">
        <v>23</v>
      </c>
      <c r="B307" s="337" t="s">
        <v>728</v>
      </c>
      <c r="C307" s="347" t="s">
        <v>427</v>
      </c>
      <c r="D307" s="347"/>
      <c r="E307" s="369" t="s">
        <v>236</v>
      </c>
      <c r="F307" s="369" t="s">
        <v>729</v>
      </c>
      <c r="G307" s="113">
        <v>125376</v>
      </c>
      <c r="H307" s="113"/>
      <c r="I307" s="113"/>
      <c r="J307" s="113"/>
      <c r="K307" s="113">
        <v>125376</v>
      </c>
      <c r="L307" s="113">
        <v>124575</v>
      </c>
      <c r="M307" s="113"/>
      <c r="N307" s="113"/>
      <c r="O307" s="113">
        <v>124575</v>
      </c>
      <c r="P307" s="113">
        <v>108000</v>
      </c>
      <c r="Q307" s="113"/>
      <c r="R307" s="113"/>
      <c r="S307" s="113">
        <v>108000</v>
      </c>
      <c r="T307" s="113">
        <v>28007.97</v>
      </c>
      <c r="U307" s="113"/>
      <c r="V307" s="113"/>
      <c r="W307" s="113"/>
      <c r="X307" s="113">
        <v>28007.97</v>
      </c>
      <c r="Y307" s="113">
        <v>25913.773000000001</v>
      </c>
      <c r="Z307" s="113"/>
      <c r="AA307" s="113"/>
      <c r="AB307" s="113"/>
      <c r="AC307" s="113">
        <v>25913.773000000001</v>
      </c>
      <c r="AD307" s="348">
        <f t="shared" si="15"/>
        <v>0.92522853316395293</v>
      </c>
      <c r="AE307" s="348"/>
      <c r="AF307" s="348"/>
      <c r="AG307" s="348"/>
      <c r="AH307" s="348">
        <f t="shared" si="16"/>
        <v>0.92522853316395293</v>
      </c>
    </row>
    <row r="308" spans="1:35" ht="31.5">
      <c r="A308" s="347" t="s">
        <v>23</v>
      </c>
      <c r="B308" s="337" t="s">
        <v>730</v>
      </c>
      <c r="C308" s="347" t="s">
        <v>427</v>
      </c>
      <c r="D308" s="347"/>
      <c r="E308" s="369" t="s">
        <v>223</v>
      </c>
      <c r="F308" s="369" t="s">
        <v>731</v>
      </c>
      <c r="G308" s="113">
        <v>175870</v>
      </c>
      <c r="H308" s="113"/>
      <c r="I308" s="113">
        <v>100000</v>
      </c>
      <c r="J308" s="113"/>
      <c r="K308" s="113">
        <v>75870</v>
      </c>
      <c r="L308" s="113">
        <v>149441</v>
      </c>
      <c r="M308" s="113"/>
      <c r="N308" s="113">
        <v>100000</v>
      </c>
      <c r="O308" s="113">
        <v>49441</v>
      </c>
      <c r="P308" s="113">
        <v>148904</v>
      </c>
      <c r="Q308" s="113"/>
      <c r="R308" s="113">
        <v>100000</v>
      </c>
      <c r="S308" s="113">
        <v>48904</v>
      </c>
      <c r="T308" s="113">
        <v>1054.4359999999999</v>
      </c>
      <c r="U308" s="113"/>
      <c r="V308" s="113"/>
      <c r="W308" s="113"/>
      <c r="X308" s="113">
        <v>1054.4359999999999</v>
      </c>
      <c r="Y308" s="113">
        <v>1054.4359999999999</v>
      </c>
      <c r="Z308" s="113"/>
      <c r="AA308" s="113"/>
      <c r="AB308" s="113"/>
      <c r="AC308" s="113">
        <v>1054.4359999999999</v>
      </c>
      <c r="AD308" s="348">
        <f t="shared" si="15"/>
        <v>1</v>
      </c>
      <c r="AE308" s="348"/>
      <c r="AF308" s="348"/>
      <c r="AG308" s="348"/>
      <c r="AH308" s="348">
        <f t="shared" si="16"/>
        <v>1</v>
      </c>
    </row>
    <row r="309" spans="1:35" ht="31.5">
      <c r="A309" s="347" t="s">
        <v>23</v>
      </c>
      <c r="B309" s="337" t="s">
        <v>732</v>
      </c>
      <c r="C309" s="347"/>
      <c r="D309" s="347"/>
      <c r="E309" s="369"/>
      <c r="F309" s="369"/>
      <c r="G309" s="113">
        <v>1816</v>
      </c>
      <c r="H309" s="113"/>
      <c r="I309" s="113"/>
      <c r="J309" s="113"/>
      <c r="K309" s="113">
        <v>1816</v>
      </c>
      <c r="L309" s="113"/>
      <c r="M309" s="113"/>
      <c r="N309" s="113"/>
      <c r="O309" s="113"/>
      <c r="P309" s="113"/>
      <c r="Q309" s="113"/>
      <c r="R309" s="113"/>
      <c r="S309" s="113"/>
      <c r="T309" s="113">
        <v>98.075000000000003</v>
      </c>
      <c r="U309" s="113"/>
      <c r="V309" s="113"/>
      <c r="W309" s="113"/>
      <c r="X309" s="113">
        <v>98.075000000000003</v>
      </c>
      <c r="Y309" s="113">
        <v>0</v>
      </c>
      <c r="Z309" s="113"/>
      <c r="AA309" s="113"/>
      <c r="AB309" s="113"/>
      <c r="AC309" s="113"/>
      <c r="AD309" s="348">
        <f t="shared" si="15"/>
        <v>0</v>
      </c>
      <c r="AE309" s="348"/>
      <c r="AF309" s="348"/>
      <c r="AG309" s="348"/>
      <c r="AH309" s="348">
        <f t="shared" si="16"/>
        <v>0</v>
      </c>
    </row>
    <row r="310" spans="1:35" ht="63">
      <c r="A310" s="347" t="s">
        <v>23</v>
      </c>
      <c r="B310" s="337" t="s">
        <v>733</v>
      </c>
      <c r="C310" s="347"/>
      <c r="D310" s="347"/>
      <c r="E310" s="369"/>
      <c r="F310" s="369"/>
      <c r="G310" s="113">
        <v>14080</v>
      </c>
      <c r="H310" s="113"/>
      <c r="I310" s="113"/>
      <c r="J310" s="113"/>
      <c r="K310" s="113">
        <v>14080</v>
      </c>
      <c r="L310" s="113"/>
      <c r="M310" s="113"/>
      <c r="N310" s="113"/>
      <c r="O310" s="113"/>
      <c r="P310" s="113"/>
      <c r="Q310" s="113"/>
      <c r="R310" s="113"/>
      <c r="S310" s="113"/>
      <c r="T310" s="113">
        <v>15.15</v>
      </c>
      <c r="U310" s="113"/>
      <c r="V310" s="113"/>
      <c r="W310" s="113"/>
      <c r="X310" s="113">
        <v>15.15</v>
      </c>
      <c r="Y310" s="113">
        <v>15.15</v>
      </c>
      <c r="Z310" s="113"/>
      <c r="AA310" s="113"/>
      <c r="AB310" s="113"/>
      <c r="AC310" s="113">
        <v>15.15</v>
      </c>
      <c r="AD310" s="348">
        <f t="shared" si="15"/>
        <v>1</v>
      </c>
      <c r="AE310" s="348"/>
      <c r="AF310" s="348"/>
      <c r="AG310" s="348"/>
      <c r="AH310" s="348">
        <f t="shared" si="16"/>
        <v>1</v>
      </c>
    </row>
    <row r="311" spans="1:35" ht="47.25">
      <c r="A311" s="347" t="s">
        <v>23</v>
      </c>
      <c r="B311" s="337" t="s">
        <v>734</v>
      </c>
      <c r="C311" s="347" t="s">
        <v>396</v>
      </c>
      <c r="D311" s="347"/>
      <c r="E311" s="369">
        <v>2015</v>
      </c>
      <c r="F311" s="369" t="s">
        <v>735</v>
      </c>
      <c r="G311" s="113">
        <v>9113</v>
      </c>
      <c r="H311" s="113"/>
      <c r="I311" s="113"/>
      <c r="J311" s="113"/>
      <c r="K311" s="113">
        <v>9113</v>
      </c>
      <c r="L311" s="113">
        <v>8059</v>
      </c>
      <c r="M311" s="113"/>
      <c r="N311" s="113"/>
      <c r="O311" s="113">
        <v>8059</v>
      </c>
      <c r="P311" s="113">
        <v>8059</v>
      </c>
      <c r="Q311" s="113"/>
      <c r="R311" s="113"/>
      <c r="S311" s="113">
        <v>8059</v>
      </c>
      <c r="T311" s="113">
        <v>1074.7650000000001</v>
      </c>
      <c r="U311" s="113"/>
      <c r="V311" s="113"/>
      <c r="W311" s="113"/>
      <c r="X311" s="113">
        <v>1074.7650000000001</v>
      </c>
      <c r="Y311" s="113">
        <v>1074.7650000000001</v>
      </c>
      <c r="Z311" s="113"/>
      <c r="AA311" s="113"/>
      <c r="AB311" s="113"/>
      <c r="AC311" s="113">
        <v>1074.7650000000001</v>
      </c>
      <c r="AD311" s="348">
        <f t="shared" si="15"/>
        <v>1</v>
      </c>
      <c r="AE311" s="348"/>
      <c r="AF311" s="348"/>
      <c r="AG311" s="348"/>
      <c r="AH311" s="348">
        <f t="shared" si="16"/>
        <v>1</v>
      </c>
    </row>
    <row r="312" spans="1:35" ht="63">
      <c r="A312" s="347" t="s">
        <v>23</v>
      </c>
      <c r="B312" s="337" t="s">
        <v>736</v>
      </c>
      <c r="C312" s="347" t="s">
        <v>476</v>
      </c>
      <c r="D312" s="347"/>
      <c r="E312" s="369" t="s">
        <v>281</v>
      </c>
      <c r="F312" s="369" t="s">
        <v>737</v>
      </c>
      <c r="G312" s="113">
        <v>80466</v>
      </c>
      <c r="H312" s="113"/>
      <c r="I312" s="113">
        <v>30000</v>
      </c>
      <c r="J312" s="113"/>
      <c r="K312" s="113">
        <v>50466</v>
      </c>
      <c r="L312" s="113">
        <v>53987</v>
      </c>
      <c r="M312" s="113"/>
      <c r="N312" s="113"/>
      <c r="O312" s="113"/>
      <c r="P312" s="113">
        <v>51583</v>
      </c>
      <c r="Q312" s="113"/>
      <c r="R312" s="113">
        <v>7000</v>
      </c>
      <c r="S312" s="113">
        <v>44583</v>
      </c>
      <c r="T312" s="113">
        <v>44552.478251</v>
      </c>
      <c r="U312" s="113"/>
      <c r="V312" s="113">
        <v>5225</v>
      </c>
      <c r="W312" s="113"/>
      <c r="X312" s="113">
        <f>T312-V312</f>
        <v>39327.478251</v>
      </c>
      <c r="Y312" s="113">
        <v>42791.744554999997</v>
      </c>
      <c r="Z312" s="113"/>
      <c r="AA312" s="113">
        <v>5225</v>
      </c>
      <c r="AB312" s="113"/>
      <c r="AC312" s="113">
        <v>37566.744554999997</v>
      </c>
      <c r="AD312" s="348">
        <f t="shared" si="15"/>
        <v>0.96047955657864037</v>
      </c>
      <c r="AE312" s="348"/>
      <c r="AF312" s="348">
        <f t="shared" si="15"/>
        <v>1</v>
      </c>
      <c r="AG312" s="348"/>
      <c r="AH312" s="348">
        <f t="shared" si="16"/>
        <v>0.95522891946535549</v>
      </c>
    </row>
    <row r="313" spans="1:35" ht="78.75">
      <c r="A313" s="347" t="s">
        <v>23</v>
      </c>
      <c r="B313" s="337" t="s">
        <v>738</v>
      </c>
      <c r="C313" s="347" t="s">
        <v>476</v>
      </c>
      <c r="D313" s="347"/>
      <c r="E313" s="369" t="s">
        <v>218</v>
      </c>
      <c r="F313" s="369" t="s">
        <v>739</v>
      </c>
      <c r="G313" s="113">
        <v>80157</v>
      </c>
      <c r="H313" s="113"/>
      <c r="I313" s="113">
        <v>30000</v>
      </c>
      <c r="J313" s="113"/>
      <c r="K313" s="113">
        <v>50157</v>
      </c>
      <c r="L313" s="113">
        <v>56401</v>
      </c>
      <c r="M313" s="113"/>
      <c r="N313" s="113"/>
      <c r="O313" s="113"/>
      <c r="P313" s="113">
        <v>54440</v>
      </c>
      <c r="Q313" s="113"/>
      <c r="R313" s="113">
        <v>7000</v>
      </c>
      <c r="S313" s="113">
        <v>47440</v>
      </c>
      <c r="T313" s="113">
        <v>46195.336619000002</v>
      </c>
      <c r="U313" s="113"/>
      <c r="V313" s="113">
        <f>406.585919+4838.414081</f>
        <v>5245</v>
      </c>
      <c r="W313" s="113"/>
      <c r="X313" s="113">
        <f>T313-V313</f>
        <v>40950.336619000002</v>
      </c>
      <c r="Y313" s="113">
        <v>33514.444132999997</v>
      </c>
      <c r="Z313" s="113"/>
      <c r="AA313" s="113">
        <v>406.58591899999999</v>
      </c>
      <c r="AB313" s="113"/>
      <c r="AC313" s="113">
        <v>33107.858214</v>
      </c>
      <c r="AD313" s="348">
        <f t="shared" si="15"/>
        <v>0.72549409931598174</v>
      </c>
      <c r="AE313" s="348"/>
      <c r="AF313" s="348">
        <f t="shared" si="15"/>
        <v>7.7518764346997143E-2</v>
      </c>
      <c r="AG313" s="348"/>
      <c r="AH313" s="348">
        <f t="shared" si="16"/>
        <v>0.80848806011129892</v>
      </c>
    </row>
    <row r="314" spans="1:35" ht="63">
      <c r="A314" s="347" t="s">
        <v>23</v>
      </c>
      <c r="B314" s="337" t="s">
        <v>740</v>
      </c>
      <c r="C314" s="347" t="s">
        <v>265</v>
      </c>
      <c r="D314" s="347"/>
      <c r="E314" s="369" t="s">
        <v>218</v>
      </c>
      <c r="F314" s="369" t="s">
        <v>741</v>
      </c>
      <c r="G314" s="113">
        <v>119467</v>
      </c>
      <c r="H314" s="113"/>
      <c r="I314" s="113">
        <v>119467</v>
      </c>
      <c r="J314" s="113"/>
      <c r="K314" s="113"/>
      <c r="L314" s="113">
        <v>69767</v>
      </c>
      <c r="M314" s="113"/>
      <c r="N314" s="113"/>
      <c r="O314" s="113"/>
      <c r="P314" s="113">
        <v>57243</v>
      </c>
      <c r="Q314" s="113"/>
      <c r="R314" s="113">
        <v>19803</v>
      </c>
      <c r="S314" s="113">
        <v>37440</v>
      </c>
      <c r="T314" s="113">
        <v>20230.006000000001</v>
      </c>
      <c r="U314" s="113"/>
      <c r="V314" s="113">
        <f>17543.1+775</f>
        <v>18318.099999999999</v>
      </c>
      <c r="W314" s="113"/>
      <c r="X314" s="113">
        <f>T314-V314</f>
        <v>1911.9060000000027</v>
      </c>
      <c r="Y314" s="113">
        <v>19195.543000000001</v>
      </c>
      <c r="Z314" s="113"/>
      <c r="AA314" s="113">
        <v>17543.099999999999</v>
      </c>
      <c r="AB314" s="113"/>
      <c r="AC314" s="113">
        <v>1652.4430000000029</v>
      </c>
      <c r="AD314" s="348">
        <f t="shared" si="15"/>
        <v>0.94886491877461632</v>
      </c>
      <c r="AE314" s="348"/>
      <c r="AF314" s="348">
        <f t="shared" si="15"/>
        <v>0.95769211872410343</v>
      </c>
      <c r="AG314" s="348"/>
      <c r="AH314" s="348">
        <f t="shared" si="16"/>
        <v>0.86429092225245419</v>
      </c>
    </row>
    <row r="315" spans="1:35" ht="63">
      <c r="A315" s="347" t="s">
        <v>23</v>
      </c>
      <c r="B315" s="337" t="s">
        <v>742</v>
      </c>
      <c r="C315" s="347" t="s">
        <v>476</v>
      </c>
      <c r="D315" s="347"/>
      <c r="E315" s="369" t="s">
        <v>218</v>
      </c>
      <c r="F315" s="369" t="s">
        <v>743</v>
      </c>
      <c r="G315" s="113">
        <v>193725</v>
      </c>
      <c r="H315" s="113"/>
      <c r="I315" s="113">
        <v>70000</v>
      </c>
      <c r="J315" s="113"/>
      <c r="K315" s="113">
        <v>123725</v>
      </c>
      <c r="L315" s="113">
        <v>90954</v>
      </c>
      <c r="M315" s="113"/>
      <c r="N315" s="113"/>
      <c r="O315" s="113"/>
      <c r="P315" s="113">
        <v>89116</v>
      </c>
      <c r="Q315" s="113"/>
      <c r="R315" s="113">
        <v>7000</v>
      </c>
      <c r="S315" s="113">
        <v>82116</v>
      </c>
      <c r="T315" s="113">
        <v>77918.728163000007</v>
      </c>
      <c r="U315" s="113"/>
      <c r="V315" s="113">
        <v>5000</v>
      </c>
      <c r="W315" s="113"/>
      <c r="X315" s="113">
        <f>T315-V315</f>
        <v>72918.728163000007</v>
      </c>
      <c r="Y315" s="113">
        <v>58403.943614000003</v>
      </c>
      <c r="Z315" s="113"/>
      <c r="AA315" s="113">
        <v>2288.1436349999999</v>
      </c>
      <c r="AB315" s="113"/>
      <c r="AC315" s="113">
        <v>56115.799979000003</v>
      </c>
      <c r="AD315" s="348">
        <f t="shared" si="15"/>
        <v>0.7495494984443718</v>
      </c>
      <c r="AE315" s="348"/>
      <c r="AF315" s="348">
        <f t="shared" si="15"/>
        <v>0.45762872699999996</v>
      </c>
      <c r="AG315" s="348"/>
      <c r="AH315" s="348">
        <f t="shared" si="16"/>
        <v>0.76956635685637143</v>
      </c>
    </row>
    <row r="316" spans="1:35" ht="63">
      <c r="A316" s="347" t="s">
        <v>23</v>
      </c>
      <c r="B316" s="337" t="s">
        <v>744</v>
      </c>
      <c r="C316" s="347" t="s">
        <v>284</v>
      </c>
      <c r="D316" s="347"/>
      <c r="E316" s="369" t="s">
        <v>745</v>
      </c>
      <c r="F316" s="369" t="s">
        <v>746</v>
      </c>
      <c r="G316" s="113">
        <v>268297</v>
      </c>
      <c r="H316" s="113"/>
      <c r="I316" s="113">
        <v>150000</v>
      </c>
      <c r="J316" s="113"/>
      <c r="K316" s="113">
        <v>118297</v>
      </c>
      <c r="L316" s="113">
        <v>237092</v>
      </c>
      <c r="M316" s="113"/>
      <c r="N316" s="113"/>
      <c r="O316" s="113"/>
      <c r="P316" s="113">
        <v>225120</v>
      </c>
      <c r="Q316" s="113"/>
      <c r="R316" s="113"/>
      <c r="S316" s="113">
        <v>225120</v>
      </c>
      <c r="T316" s="113">
        <v>203646.79816899999</v>
      </c>
      <c r="U316" s="113"/>
      <c r="V316" s="113"/>
      <c r="W316" s="113"/>
      <c r="X316" s="113">
        <v>203646.79816899999</v>
      </c>
      <c r="Y316" s="113">
        <v>189056.36337000001</v>
      </c>
      <c r="Z316" s="113"/>
      <c r="AA316" s="113"/>
      <c r="AB316" s="113"/>
      <c r="AC316" s="113">
        <v>189056.36337000001</v>
      </c>
      <c r="AD316" s="348">
        <f t="shared" si="15"/>
        <v>0.92835421460006529</v>
      </c>
      <c r="AE316" s="348"/>
      <c r="AF316" s="348"/>
      <c r="AG316" s="348"/>
      <c r="AH316" s="348">
        <f t="shared" si="16"/>
        <v>0.92835421460006529</v>
      </c>
    </row>
    <row r="317" spans="1:35" s="352" customFormat="1" ht="63">
      <c r="A317" s="349" t="s">
        <v>23</v>
      </c>
      <c r="B317" s="338" t="s">
        <v>747</v>
      </c>
      <c r="C317" s="349" t="s">
        <v>351</v>
      </c>
      <c r="D317" s="349"/>
      <c r="E317" s="370" t="s">
        <v>745</v>
      </c>
      <c r="F317" s="370" t="s">
        <v>748</v>
      </c>
      <c r="G317" s="274">
        <v>185733</v>
      </c>
      <c r="H317" s="274"/>
      <c r="I317" s="274">
        <v>110000</v>
      </c>
      <c r="J317" s="274"/>
      <c r="K317" s="274">
        <v>75733</v>
      </c>
      <c r="L317" s="274">
        <v>97929</v>
      </c>
      <c r="M317" s="274"/>
      <c r="N317" s="274"/>
      <c r="O317" s="274"/>
      <c r="P317" s="274">
        <v>79235</v>
      </c>
      <c r="Q317" s="274"/>
      <c r="R317" s="274">
        <f>+V317</f>
        <v>13098.144</v>
      </c>
      <c r="S317" s="274">
        <f>+P317-R317</f>
        <v>66136.856</v>
      </c>
      <c r="T317" s="274">
        <v>31618.910500000002</v>
      </c>
      <c r="U317" s="274"/>
      <c r="V317" s="274">
        <f>9589.638+3508.506</f>
        <v>13098.144</v>
      </c>
      <c r="W317" s="274"/>
      <c r="X317" s="274">
        <f>T317-V317</f>
        <v>18520.766500000002</v>
      </c>
      <c r="Y317" s="274">
        <v>30832.734</v>
      </c>
      <c r="Z317" s="274"/>
      <c r="AA317" s="274">
        <f>9589.638+3016.972</f>
        <v>12606.61</v>
      </c>
      <c r="AB317" s="274"/>
      <c r="AC317" s="274">
        <f>21243.096-3016.972</f>
        <v>18226.124</v>
      </c>
      <c r="AD317" s="350">
        <f t="shared" si="15"/>
        <v>0.97513587636107824</v>
      </c>
      <c r="AE317" s="350"/>
      <c r="AF317" s="350">
        <f t="shared" si="15"/>
        <v>0.96247300380878398</v>
      </c>
      <c r="AG317" s="350"/>
      <c r="AH317" s="350">
        <f t="shared" si="16"/>
        <v>0.98409123618074867</v>
      </c>
      <c r="AI317" s="351">
        <f>+V317-AA317</f>
        <v>491.53399999999965</v>
      </c>
    </row>
    <row r="318" spans="1:35" ht="30">
      <c r="A318" s="347" t="s">
        <v>23</v>
      </c>
      <c r="B318" s="337" t="s">
        <v>749</v>
      </c>
      <c r="C318" s="347" t="s">
        <v>396</v>
      </c>
      <c r="D318" s="347"/>
      <c r="E318" s="369" t="s">
        <v>750</v>
      </c>
      <c r="F318" s="369" t="s">
        <v>751</v>
      </c>
      <c r="G318" s="113">
        <v>1399000</v>
      </c>
      <c r="H318" s="113"/>
      <c r="I318" s="113"/>
      <c r="J318" s="113">
        <v>1399000</v>
      </c>
      <c r="K318" s="113"/>
      <c r="L318" s="113">
        <v>1396233</v>
      </c>
      <c r="M318" s="113"/>
      <c r="N318" s="113">
        <v>1396233</v>
      </c>
      <c r="O318" s="113"/>
      <c r="P318" s="113">
        <v>1272557</v>
      </c>
      <c r="Q318" s="113"/>
      <c r="R318" s="113">
        <v>1272557</v>
      </c>
      <c r="S318" s="113"/>
      <c r="T318" s="113">
        <v>11575.973816</v>
      </c>
      <c r="U318" s="113"/>
      <c r="V318" s="113"/>
      <c r="W318" s="113">
        <v>11575.973816</v>
      </c>
      <c r="X318" s="113"/>
      <c r="Y318" s="113">
        <v>8735.9560000000001</v>
      </c>
      <c r="Z318" s="113"/>
      <c r="AA318" s="113"/>
      <c r="AB318" s="113">
        <v>8735.9560000000001</v>
      </c>
      <c r="AC318" s="113"/>
      <c r="AD318" s="348">
        <f t="shared" si="15"/>
        <v>0.75466272979344484</v>
      </c>
      <c r="AE318" s="348"/>
      <c r="AF318" s="348"/>
      <c r="AG318" s="348">
        <f>AB318/W318</f>
        <v>0.75466272979344484</v>
      </c>
      <c r="AH318" s="348"/>
    </row>
    <row r="319" spans="1:35" ht="47.25">
      <c r="A319" s="347" t="s">
        <v>23</v>
      </c>
      <c r="B319" s="337" t="s">
        <v>752</v>
      </c>
      <c r="C319" s="347" t="s">
        <v>396</v>
      </c>
      <c r="D319" s="347"/>
      <c r="E319" s="369" t="s">
        <v>750</v>
      </c>
      <c r="F319" s="369"/>
      <c r="G319" s="113"/>
      <c r="H319" s="113"/>
      <c r="I319" s="113"/>
      <c r="J319" s="113"/>
      <c r="K319" s="113"/>
      <c r="L319" s="113"/>
      <c r="M319" s="113"/>
      <c r="N319" s="113"/>
      <c r="O319" s="113"/>
      <c r="P319" s="113"/>
      <c r="Q319" s="113"/>
      <c r="R319" s="113"/>
      <c r="S319" s="113"/>
      <c r="T319" s="113">
        <v>132.6379</v>
      </c>
      <c r="U319" s="113"/>
      <c r="V319" s="113"/>
      <c r="W319" s="113">
        <v>132.6379</v>
      </c>
      <c r="X319" s="113"/>
      <c r="Y319" s="113">
        <v>107.78400000000001</v>
      </c>
      <c r="Z319" s="113"/>
      <c r="AA319" s="113"/>
      <c r="AB319" s="113">
        <v>107.78400000000001</v>
      </c>
      <c r="AC319" s="113"/>
      <c r="AD319" s="348">
        <f t="shared" si="15"/>
        <v>0.8126184144954044</v>
      </c>
      <c r="AE319" s="348"/>
      <c r="AF319" s="348"/>
      <c r="AG319" s="348">
        <f>AB319/W319</f>
        <v>0.8126184144954044</v>
      </c>
      <c r="AH319" s="348"/>
    </row>
    <row r="320" spans="1:35" ht="47.25">
      <c r="A320" s="347" t="s">
        <v>23</v>
      </c>
      <c r="B320" s="337" t="s">
        <v>753</v>
      </c>
      <c r="C320" s="347"/>
      <c r="D320" s="347"/>
      <c r="E320" s="369"/>
      <c r="F320" s="369"/>
      <c r="G320" s="113"/>
      <c r="H320" s="113"/>
      <c r="I320" s="113"/>
      <c r="J320" s="113"/>
      <c r="K320" s="113"/>
      <c r="L320" s="113"/>
      <c r="M320" s="113"/>
      <c r="N320" s="113"/>
      <c r="O320" s="113"/>
      <c r="P320" s="113"/>
      <c r="Q320" s="113"/>
      <c r="R320" s="113"/>
      <c r="S320" s="113"/>
      <c r="T320" s="113">
        <v>4566.5679</v>
      </c>
      <c r="U320" s="113"/>
      <c r="V320" s="113"/>
      <c r="W320" s="113">
        <v>4566.5679</v>
      </c>
      <c r="X320" s="113"/>
      <c r="Y320" s="113">
        <v>3788.9355620000001</v>
      </c>
      <c r="Z320" s="113"/>
      <c r="AA320" s="113"/>
      <c r="AB320" s="113">
        <v>3788.9355620000001</v>
      </c>
      <c r="AC320" s="113"/>
      <c r="AD320" s="348">
        <f t="shared" si="15"/>
        <v>0.82971186347628822</v>
      </c>
      <c r="AE320" s="348"/>
      <c r="AF320" s="348"/>
      <c r="AG320" s="348">
        <f>AB320/W320</f>
        <v>0.82971186347628822</v>
      </c>
      <c r="AH320" s="348"/>
    </row>
    <row r="321" spans="1:34" s="346" customFormat="1">
      <c r="A321" s="334">
        <v>53</v>
      </c>
      <c r="B321" s="335" t="s">
        <v>178</v>
      </c>
      <c r="C321" s="334"/>
      <c r="D321" s="334"/>
      <c r="E321" s="357"/>
      <c r="F321" s="357"/>
      <c r="G321" s="345"/>
      <c r="H321" s="345"/>
      <c r="I321" s="345"/>
      <c r="J321" s="345"/>
      <c r="K321" s="345"/>
      <c r="L321" s="345"/>
      <c r="M321" s="345"/>
      <c r="N321" s="345"/>
      <c r="O321" s="345"/>
      <c r="P321" s="345"/>
      <c r="Q321" s="345"/>
      <c r="R321" s="345"/>
      <c r="S321" s="345"/>
      <c r="T321" s="345"/>
      <c r="U321" s="345"/>
      <c r="V321" s="345"/>
      <c r="W321" s="345"/>
      <c r="X321" s="345"/>
      <c r="Y321" s="345"/>
      <c r="Z321" s="345"/>
      <c r="AA321" s="345"/>
      <c r="AB321" s="345"/>
      <c r="AC321" s="345"/>
      <c r="AD321" s="348"/>
      <c r="AE321" s="348"/>
      <c r="AF321" s="348"/>
      <c r="AG321" s="348"/>
      <c r="AH321" s="348"/>
    </row>
    <row r="322" spans="1:34" ht="31.5">
      <c r="A322" s="347" t="s">
        <v>23</v>
      </c>
      <c r="B322" s="337" t="s">
        <v>754</v>
      </c>
      <c r="C322" s="347"/>
      <c r="D322" s="347"/>
      <c r="E322" s="369"/>
      <c r="F322" s="369" t="s">
        <v>755</v>
      </c>
      <c r="G322" s="113">
        <v>104604</v>
      </c>
      <c r="H322" s="113">
        <v>82554</v>
      </c>
      <c r="I322" s="113">
        <v>11025</v>
      </c>
      <c r="J322" s="113"/>
      <c r="K322" s="113">
        <f>G322-H322-I322</f>
        <v>11025</v>
      </c>
      <c r="L322" s="113">
        <v>38134.436999999998</v>
      </c>
      <c r="M322" s="113"/>
      <c r="N322" s="113"/>
      <c r="O322" s="113"/>
      <c r="P322" s="113">
        <f>32142+5992.437</f>
        <v>38134.436999999998</v>
      </c>
      <c r="Q322" s="113">
        <v>27571</v>
      </c>
      <c r="R322" s="113"/>
      <c r="S322" s="113"/>
      <c r="T322" s="113">
        <v>5992.4369999999999</v>
      </c>
      <c r="U322" s="113"/>
      <c r="V322" s="113"/>
      <c r="W322" s="113"/>
      <c r="X322" s="113">
        <v>5992.4369999999999</v>
      </c>
      <c r="Y322" s="113">
        <v>4464</v>
      </c>
      <c r="Z322" s="113"/>
      <c r="AA322" s="113"/>
      <c r="AB322" s="113"/>
      <c r="AC322" s="113">
        <v>4464</v>
      </c>
      <c r="AD322" s="348">
        <f t="shared" si="15"/>
        <v>0.74493899560395882</v>
      </c>
      <c r="AE322" s="348"/>
      <c r="AF322" s="348"/>
      <c r="AG322" s="348"/>
      <c r="AH322" s="348">
        <f>AC322/X322</f>
        <v>0.74493899560395882</v>
      </c>
    </row>
    <row r="323" spans="1:34" ht="47.25">
      <c r="A323" s="347" t="s">
        <v>23</v>
      </c>
      <c r="B323" s="337" t="s">
        <v>756</v>
      </c>
      <c r="C323" s="347"/>
      <c r="D323" s="347"/>
      <c r="E323" s="369"/>
      <c r="F323" s="369"/>
      <c r="G323" s="113">
        <v>2443.67</v>
      </c>
      <c r="H323" s="113"/>
      <c r="I323" s="113"/>
      <c r="J323" s="113"/>
      <c r="K323" s="113">
        <v>2443.67</v>
      </c>
      <c r="L323" s="113"/>
      <c r="M323" s="113"/>
      <c r="N323" s="113"/>
      <c r="O323" s="113"/>
      <c r="P323" s="113"/>
      <c r="Q323" s="113"/>
      <c r="R323" s="113"/>
      <c r="S323" s="113"/>
      <c r="T323" s="113">
        <v>1700</v>
      </c>
      <c r="U323" s="113"/>
      <c r="V323" s="113"/>
      <c r="W323" s="113"/>
      <c r="X323" s="113">
        <v>1700</v>
      </c>
      <c r="Y323" s="113">
        <v>1700</v>
      </c>
      <c r="Z323" s="113"/>
      <c r="AA323" s="113"/>
      <c r="AB323" s="113"/>
      <c r="AC323" s="113">
        <v>1700</v>
      </c>
      <c r="AD323" s="348">
        <f t="shared" si="15"/>
        <v>1</v>
      </c>
      <c r="AE323" s="348"/>
      <c r="AF323" s="348"/>
      <c r="AG323" s="348"/>
      <c r="AH323" s="348">
        <f>AC323/X323</f>
        <v>1</v>
      </c>
    </row>
    <row r="324" spans="1:34" s="346" customFormat="1">
      <c r="A324" s="334">
        <v>54</v>
      </c>
      <c r="B324" s="335" t="s">
        <v>179</v>
      </c>
      <c r="C324" s="334"/>
      <c r="D324" s="334"/>
      <c r="E324" s="357"/>
      <c r="F324" s="357"/>
      <c r="G324" s="345"/>
      <c r="H324" s="345"/>
      <c r="I324" s="345"/>
      <c r="J324" s="345"/>
      <c r="K324" s="345"/>
      <c r="L324" s="345"/>
      <c r="M324" s="345"/>
      <c r="N324" s="345"/>
      <c r="O324" s="345"/>
      <c r="P324" s="345"/>
      <c r="Q324" s="345"/>
      <c r="R324" s="345"/>
      <c r="S324" s="345"/>
      <c r="T324" s="345"/>
      <c r="U324" s="345"/>
      <c r="V324" s="345"/>
      <c r="W324" s="345"/>
      <c r="X324" s="345"/>
      <c r="Y324" s="345"/>
      <c r="Z324" s="345"/>
      <c r="AA324" s="345"/>
      <c r="AB324" s="345"/>
      <c r="AC324" s="345"/>
      <c r="AD324" s="348"/>
      <c r="AE324" s="348"/>
      <c r="AF324" s="348"/>
      <c r="AG324" s="348"/>
      <c r="AH324" s="348"/>
    </row>
    <row r="325" spans="1:34" ht="47.25">
      <c r="A325" s="347" t="s">
        <v>23</v>
      </c>
      <c r="B325" s="337" t="s">
        <v>757</v>
      </c>
      <c r="C325" s="347" t="s">
        <v>362</v>
      </c>
      <c r="D325" s="347"/>
      <c r="E325" s="369" t="s">
        <v>363</v>
      </c>
      <c r="F325" s="369" t="s">
        <v>758</v>
      </c>
      <c r="G325" s="113">
        <v>9405.5</v>
      </c>
      <c r="H325" s="113"/>
      <c r="I325" s="113"/>
      <c r="J325" s="113"/>
      <c r="K325" s="113">
        <v>9405.5</v>
      </c>
      <c r="L325" s="113">
        <v>8358</v>
      </c>
      <c r="M325" s="113"/>
      <c r="N325" s="113"/>
      <c r="O325" s="113">
        <v>8358</v>
      </c>
      <c r="P325" s="113">
        <v>8358</v>
      </c>
      <c r="Q325" s="113"/>
      <c r="R325" s="113"/>
      <c r="S325" s="113">
        <v>8358</v>
      </c>
      <c r="T325" s="113">
        <v>1497.9860000000001</v>
      </c>
      <c r="U325" s="113"/>
      <c r="V325" s="113"/>
      <c r="W325" s="113"/>
      <c r="X325" s="113">
        <v>1497.9860000000001</v>
      </c>
      <c r="Y325" s="113">
        <v>1496.605</v>
      </c>
      <c r="Z325" s="113"/>
      <c r="AA325" s="113"/>
      <c r="AB325" s="113"/>
      <c r="AC325" s="113">
        <v>1496.605</v>
      </c>
      <c r="AD325" s="348">
        <f t="shared" si="15"/>
        <v>0.99907809552292204</v>
      </c>
      <c r="AE325" s="348"/>
      <c r="AF325" s="348"/>
      <c r="AG325" s="348"/>
      <c r="AH325" s="348">
        <f>AC325/X325</f>
        <v>0.99907809552292204</v>
      </c>
    </row>
    <row r="326" spans="1:34" ht="31.5">
      <c r="A326" s="347" t="s">
        <v>23</v>
      </c>
      <c r="B326" s="337" t="s">
        <v>759</v>
      </c>
      <c r="C326" s="347" t="s">
        <v>362</v>
      </c>
      <c r="D326" s="347"/>
      <c r="E326" s="369" t="s">
        <v>644</v>
      </c>
      <c r="F326" s="369" t="s">
        <v>760</v>
      </c>
      <c r="G326" s="113">
        <v>11900.3</v>
      </c>
      <c r="H326" s="113"/>
      <c r="I326" s="113"/>
      <c r="J326" s="113"/>
      <c r="K326" s="113">
        <v>11900.3</v>
      </c>
      <c r="L326" s="113">
        <v>8292.2999999999993</v>
      </c>
      <c r="M326" s="113"/>
      <c r="N326" s="113"/>
      <c r="O326" s="113">
        <v>8292.2999999999993</v>
      </c>
      <c r="P326" s="113">
        <v>8000</v>
      </c>
      <c r="Q326" s="113"/>
      <c r="R326" s="113"/>
      <c r="S326" s="113">
        <v>8000</v>
      </c>
      <c r="T326" s="113">
        <v>6101.3355000000001</v>
      </c>
      <c r="U326" s="113"/>
      <c r="V326" s="113"/>
      <c r="W326" s="113"/>
      <c r="X326" s="113">
        <v>6101.3355000000001</v>
      </c>
      <c r="Y326" s="113">
        <v>6061.5141000000003</v>
      </c>
      <c r="Z326" s="113"/>
      <c r="AA326" s="113"/>
      <c r="AB326" s="113"/>
      <c r="AC326" s="113">
        <v>6061.5141000000003</v>
      </c>
      <c r="AD326" s="348">
        <f t="shared" si="15"/>
        <v>0.99347333055197506</v>
      </c>
      <c r="AE326" s="348"/>
      <c r="AF326" s="348"/>
      <c r="AG326" s="348"/>
      <c r="AH326" s="348">
        <f>AC326/X326</f>
        <v>0.99347333055197506</v>
      </c>
    </row>
    <row r="327" spans="1:34" s="346" customFormat="1">
      <c r="A327" s="334">
        <v>55</v>
      </c>
      <c r="B327" s="335" t="s">
        <v>180</v>
      </c>
      <c r="C327" s="334"/>
      <c r="D327" s="334"/>
      <c r="E327" s="357"/>
      <c r="F327" s="369"/>
      <c r="G327" s="345"/>
      <c r="H327" s="345"/>
      <c r="I327" s="345"/>
      <c r="J327" s="345"/>
      <c r="K327" s="345"/>
      <c r="L327" s="345"/>
      <c r="M327" s="345"/>
      <c r="N327" s="345"/>
      <c r="O327" s="345"/>
      <c r="P327" s="345"/>
      <c r="Q327" s="345"/>
      <c r="R327" s="345"/>
      <c r="S327" s="345"/>
      <c r="T327" s="345"/>
      <c r="U327" s="345"/>
      <c r="V327" s="345"/>
      <c r="W327" s="345"/>
      <c r="X327" s="345"/>
      <c r="Y327" s="345"/>
      <c r="Z327" s="345"/>
      <c r="AA327" s="345"/>
      <c r="AB327" s="345"/>
      <c r="AC327" s="345"/>
      <c r="AD327" s="348"/>
      <c r="AE327" s="348"/>
      <c r="AF327" s="348"/>
      <c r="AG327" s="348"/>
      <c r="AH327" s="348"/>
    </row>
    <row r="328" spans="1:34" ht="47.25">
      <c r="A328" s="347" t="s">
        <v>23</v>
      </c>
      <c r="B328" s="337" t="s">
        <v>761</v>
      </c>
      <c r="C328" s="347" t="s">
        <v>298</v>
      </c>
      <c r="D328" s="347"/>
      <c r="E328" s="369" t="s">
        <v>762</v>
      </c>
      <c r="F328" s="369" t="s">
        <v>763</v>
      </c>
      <c r="G328" s="113">
        <v>81666</v>
      </c>
      <c r="H328" s="113"/>
      <c r="I328" s="113">
        <v>70000</v>
      </c>
      <c r="J328" s="113"/>
      <c r="K328" s="113">
        <v>11666</v>
      </c>
      <c r="L328" s="113">
        <v>48984</v>
      </c>
      <c r="M328" s="113"/>
      <c r="N328" s="113">
        <v>40207</v>
      </c>
      <c r="O328" s="113">
        <v>8777</v>
      </c>
      <c r="P328" s="113">
        <v>55857</v>
      </c>
      <c r="Q328" s="113"/>
      <c r="R328" s="113">
        <v>40207</v>
      </c>
      <c r="S328" s="113">
        <v>15650</v>
      </c>
      <c r="T328" s="113">
        <v>1072.01</v>
      </c>
      <c r="U328" s="113"/>
      <c r="V328" s="113">
        <v>72.010000000000005</v>
      </c>
      <c r="W328" s="113"/>
      <c r="X328" s="113">
        <v>1000</v>
      </c>
      <c r="Y328" s="113">
        <v>1007</v>
      </c>
      <c r="Z328" s="113"/>
      <c r="AA328" s="113"/>
      <c r="AB328" s="113"/>
      <c r="AC328" s="113">
        <v>1007</v>
      </c>
      <c r="AD328" s="348">
        <f t="shared" si="15"/>
        <v>0.93935690898405799</v>
      </c>
      <c r="AE328" s="348"/>
      <c r="AF328" s="348">
        <f t="shared" si="15"/>
        <v>0</v>
      </c>
      <c r="AG328" s="348"/>
      <c r="AH328" s="348">
        <f>AC328/X328</f>
        <v>1.0069999999999999</v>
      </c>
    </row>
    <row r="329" spans="1:34" ht="31.5">
      <c r="A329" s="347" t="s">
        <v>23</v>
      </c>
      <c r="B329" s="337" t="s">
        <v>764</v>
      </c>
      <c r="C329" s="347" t="s">
        <v>213</v>
      </c>
      <c r="D329" s="347"/>
      <c r="E329" s="369" t="s">
        <v>281</v>
      </c>
      <c r="F329" s="369" t="s">
        <v>765</v>
      </c>
      <c r="G329" s="113">
        <v>3881</v>
      </c>
      <c r="H329" s="113"/>
      <c r="I329" s="113"/>
      <c r="J329" s="113"/>
      <c r="K329" s="113">
        <v>3881</v>
      </c>
      <c r="L329" s="113">
        <v>3859</v>
      </c>
      <c r="M329" s="113"/>
      <c r="N329" s="113"/>
      <c r="O329" s="113">
        <v>3859</v>
      </c>
      <c r="P329" s="113">
        <v>2700</v>
      </c>
      <c r="Q329" s="113"/>
      <c r="R329" s="113"/>
      <c r="S329" s="113">
        <v>2700</v>
      </c>
      <c r="T329" s="113">
        <v>2059</v>
      </c>
      <c r="U329" s="113"/>
      <c r="V329" s="113"/>
      <c r="W329" s="113"/>
      <c r="X329" s="113">
        <v>2059</v>
      </c>
      <c r="Y329" s="113">
        <v>2059</v>
      </c>
      <c r="Z329" s="113"/>
      <c r="AA329" s="113"/>
      <c r="AB329" s="113"/>
      <c r="AC329" s="113">
        <v>2059</v>
      </c>
      <c r="AD329" s="348">
        <f t="shared" si="15"/>
        <v>1</v>
      </c>
      <c r="AE329" s="348"/>
      <c r="AF329" s="348"/>
      <c r="AG329" s="348"/>
      <c r="AH329" s="348">
        <f>AC329/X329</f>
        <v>1</v>
      </c>
    </row>
    <row r="330" spans="1:34">
      <c r="A330" s="347" t="s">
        <v>23</v>
      </c>
      <c r="B330" s="337" t="s">
        <v>766</v>
      </c>
      <c r="C330" s="347"/>
      <c r="D330" s="347"/>
      <c r="E330" s="369"/>
      <c r="F330" s="369"/>
      <c r="G330" s="113"/>
      <c r="H330" s="113"/>
      <c r="I330" s="113"/>
      <c r="J330" s="113"/>
      <c r="K330" s="113"/>
      <c r="L330" s="113"/>
      <c r="M330" s="113"/>
      <c r="N330" s="113"/>
      <c r="O330" s="113"/>
      <c r="P330" s="113"/>
      <c r="Q330" s="113"/>
      <c r="R330" s="113"/>
      <c r="S330" s="113"/>
      <c r="T330" s="113">
        <v>21.610054000000019</v>
      </c>
      <c r="U330" s="113"/>
      <c r="V330" s="113"/>
      <c r="W330" s="113"/>
      <c r="X330" s="113">
        <v>21.610054000000019</v>
      </c>
      <c r="Y330" s="113">
        <v>0</v>
      </c>
      <c r="Z330" s="113"/>
      <c r="AA330" s="113"/>
      <c r="AB330" s="113"/>
      <c r="AC330" s="113"/>
      <c r="AD330" s="348">
        <f t="shared" si="15"/>
        <v>0</v>
      </c>
      <c r="AE330" s="348"/>
      <c r="AF330" s="348"/>
      <c r="AG330" s="348"/>
      <c r="AH330" s="348">
        <f>AC330/X330</f>
        <v>0</v>
      </c>
    </row>
    <row r="331" spans="1:34" ht="31.5">
      <c r="A331" s="347" t="s">
        <v>23</v>
      </c>
      <c r="B331" s="337" t="s">
        <v>767</v>
      </c>
      <c r="C331" s="347" t="s">
        <v>362</v>
      </c>
      <c r="D331" s="347"/>
      <c r="E331" s="369" t="s">
        <v>218</v>
      </c>
      <c r="F331" s="369" t="s">
        <v>768</v>
      </c>
      <c r="G331" s="113">
        <v>11293</v>
      </c>
      <c r="H331" s="113"/>
      <c r="I331" s="113"/>
      <c r="J331" s="113"/>
      <c r="K331" s="113">
        <v>11293</v>
      </c>
      <c r="L331" s="113">
        <v>11015</v>
      </c>
      <c r="M331" s="113"/>
      <c r="N331" s="113"/>
      <c r="O331" s="113">
        <v>11015</v>
      </c>
      <c r="P331" s="113">
        <v>6000</v>
      </c>
      <c r="Q331" s="113"/>
      <c r="R331" s="113"/>
      <c r="S331" s="113">
        <v>6000</v>
      </c>
      <c r="T331" s="113">
        <v>5637</v>
      </c>
      <c r="U331" s="113"/>
      <c r="V331" s="113"/>
      <c r="W331" s="113"/>
      <c r="X331" s="113">
        <v>5637</v>
      </c>
      <c r="Y331" s="113">
        <v>5637</v>
      </c>
      <c r="Z331" s="113"/>
      <c r="AA331" s="113"/>
      <c r="AB331" s="113"/>
      <c r="AC331" s="113">
        <v>5637</v>
      </c>
      <c r="AD331" s="348">
        <f t="shared" si="15"/>
        <v>1</v>
      </c>
      <c r="AE331" s="348"/>
      <c r="AF331" s="348"/>
      <c r="AG331" s="348"/>
      <c r="AH331" s="348">
        <f>AC331/X331</f>
        <v>1</v>
      </c>
    </row>
    <row r="332" spans="1:34" ht="63">
      <c r="A332" s="347" t="s">
        <v>23</v>
      </c>
      <c r="B332" s="337" t="s">
        <v>769</v>
      </c>
      <c r="C332" s="347" t="s">
        <v>298</v>
      </c>
      <c r="D332" s="347"/>
      <c r="E332" s="369" t="s">
        <v>585</v>
      </c>
      <c r="F332" s="369" t="s">
        <v>770</v>
      </c>
      <c r="G332" s="113">
        <v>850</v>
      </c>
      <c r="H332" s="113"/>
      <c r="I332" s="113"/>
      <c r="J332" s="113"/>
      <c r="K332" s="113">
        <v>850</v>
      </c>
      <c r="L332" s="113">
        <v>787.85799999999995</v>
      </c>
      <c r="M332" s="113"/>
      <c r="N332" s="113"/>
      <c r="O332" s="113">
        <v>787.85799999999995</v>
      </c>
      <c r="P332" s="113">
        <v>850</v>
      </c>
      <c r="Q332" s="113"/>
      <c r="R332" s="113"/>
      <c r="S332" s="113">
        <v>850</v>
      </c>
      <c r="T332" s="113">
        <v>850</v>
      </c>
      <c r="U332" s="113"/>
      <c r="V332" s="113"/>
      <c r="W332" s="113"/>
      <c r="X332" s="113">
        <v>850</v>
      </c>
      <c r="Y332" s="113">
        <v>787.85799999999995</v>
      </c>
      <c r="Z332" s="113"/>
      <c r="AA332" s="113"/>
      <c r="AB332" s="113"/>
      <c r="AC332" s="113">
        <v>787.85799999999995</v>
      </c>
      <c r="AD332" s="348">
        <f t="shared" si="15"/>
        <v>0.9268917647058823</v>
      </c>
      <c r="AE332" s="348"/>
      <c r="AF332" s="348"/>
      <c r="AG332" s="348"/>
      <c r="AH332" s="348">
        <f>AC332/X332</f>
        <v>0.9268917647058823</v>
      </c>
    </row>
    <row r="333" spans="1:34" s="346" customFormat="1">
      <c r="A333" s="334">
        <v>56</v>
      </c>
      <c r="B333" s="335" t="s">
        <v>181</v>
      </c>
      <c r="C333" s="334"/>
      <c r="D333" s="334"/>
      <c r="E333" s="357"/>
      <c r="F333" s="357"/>
      <c r="G333" s="345"/>
      <c r="H333" s="345"/>
      <c r="I333" s="345"/>
      <c r="J333" s="345"/>
      <c r="K333" s="345"/>
      <c r="L333" s="345"/>
      <c r="M333" s="345"/>
      <c r="N333" s="345"/>
      <c r="O333" s="345"/>
      <c r="P333" s="345"/>
      <c r="Q333" s="345"/>
      <c r="R333" s="345"/>
      <c r="S333" s="345"/>
      <c r="T333" s="345"/>
      <c r="U333" s="345"/>
      <c r="V333" s="345"/>
      <c r="W333" s="345"/>
      <c r="X333" s="345"/>
      <c r="Y333" s="345"/>
      <c r="Z333" s="345"/>
      <c r="AA333" s="345"/>
      <c r="AB333" s="345"/>
      <c r="AC333" s="345"/>
      <c r="AD333" s="348"/>
      <c r="AE333" s="348"/>
      <c r="AF333" s="348"/>
      <c r="AG333" s="348"/>
      <c r="AH333" s="348"/>
    </row>
    <row r="334" spans="1:34">
      <c r="A334" s="347" t="s">
        <v>23</v>
      </c>
      <c r="B334" s="337" t="s">
        <v>771</v>
      </c>
      <c r="C334" s="347"/>
      <c r="D334" s="347"/>
      <c r="E334" s="369"/>
      <c r="F334" s="369"/>
      <c r="G334" s="113"/>
      <c r="H334" s="113"/>
      <c r="I334" s="113"/>
      <c r="J334" s="113"/>
      <c r="K334" s="113"/>
      <c r="L334" s="113"/>
      <c r="M334" s="113"/>
      <c r="N334" s="113"/>
      <c r="O334" s="113"/>
      <c r="P334" s="113"/>
      <c r="Q334" s="113"/>
      <c r="R334" s="113"/>
      <c r="S334" s="113"/>
      <c r="T334" s="113">
        <v>650</v>
      </c>
      <c r="U334" s="113"/>
      <c r="V334" s="113"/>
      <c r="W334" s="113"/>
      <c r="X334" s="113">
        <v>650</v>
      </c>
      <c r="Y334" s="113">
        <v>270.71368100000001</v>
      </c>
      <c r="Z334" s="113"/>
      <c r="AA334" s="113"/>
      <c r="AB334" s="113"/>
      <c r="AC334" s="113">
        <v>270.71368100000001</v>
      </c>
      <c r="AD334" s="348">
        <f t="shared" ref="AD334:AD397" si="17">Y334/T334</f>
        <v>0.41648258615384615</v>
      </c>
      <c r="AE334" s="348"/>
      <c r="AF334" s="348"/>
      <c r="AG334" s="348"/>
      <c r="AH334" s="348">
        <f>AC334/X334</f>
        <v>0.41648258615384615</v>
      </c>
    </row>
    <row r="335" spans="1:34" ht="47.25">
      <c r="A335" s="347" t="s">
        <v>23</v>
      </c>
      <c r="B335" s="337" t="s">
        <v>772</v>
      </c>
      <c r="C335" s="347" t="s">
        <v>773</v>
      </c>
      <c r="D335" s="347"/>
      <c r="E335" s="369" t="s">
        <v>363</v>
      </c>
      <c r="F335" s="369" t="s">
        <v>774</v>
      </c>
      <c r="G335" s="113">
        <v>88445.991999999998</v>
      </c>
      <c r="H335" s="113">
        <v>75871.509999999995</v>
      </c>
      <c r="I335" s="113"/>
      <c r="J335" s="113"/>
      <c r="K335" s="113">
        <v>12574.482</v>
      </c>
      <c r="L335" s="113">
        <v>76503.191999999995</v>
      </c>
      <c r="M335" s="113">
        <v>66003.293000000005</v>
      </c>
      <c r="N335" s="113"/>
      <c r="O335" s="113">
        <v>10499.898999999999</v>
      </c>
      <c r="P335" s="113">
        <v>76503.293000000005</v>
      </c>
      <c r="Q335" s="113">
        <v>66003.293000000005</v>
      </c>
      <c r="R335" s="113"/>
      <c r="S335" s="113">
        <v>10500</v>
      </c>
      <c r="T335" s="113">
        <v>2740.5922999999998</v>
      </c>
      <c r="U335" s="113"/>
      <c r="V335" s="113"/>
      <c r="W335" s="113"/>
      <c r="X335" s="113">
        <v>2740.5922999999998</v>
      </c>
      <c r="Y335" s="113">
        <v>2740.5922999999998</v>
      </c>
      <c r="Z335" s="113"/>
      <c r="AA335" s="113"/>
      <c r="AB335" s="113"/>
      <c r="AC335" s="113">
        <v>2740.5922999999998</v>
      </c>
      <c r="AD335" s="348">
        <f t="shared" si="17"/>
        <v>1</v>
      </c>
      <c r="AE335" s="348"/>
      <c r="AF335" s="348"/>
      <c r="AG335" s="348"/>
      <c r="AH335" s="348">
        <f>AC335/X335</f>
        <v>1</v>
      </c>
    </row>
    <row r="336" spans="1:34" ht="31.5">
      <c r="A336" s="347" t="s">
        <v>23</v>
      </c>
      <c r="B336" s="337" t="s">
        <v>775</v>
      </c>
      <c r="C336" s="347" t="s">
        <v>396</v>
      </c>
      <c r="D336" s="347"/>
      <c r="E336" s="369" t="s">
        <v>226</v>
      </c>
      <c r="F336" s="369" t="s">
        <v>776</v>
      </c>
      <c r="G336" s="113">
        <v>5963</v>
      </c>
      <c r="H336" s="113"/>
      <c r="I336" s="113">
        <v>5963</v>
      </c>
      <c r="J336" s="113"/>
      <c r="K336" s="113"/>
      <c r="L336" s="113">
        <v>1323.229</v>
      </c>
      <c r="M336" s="113"/>
      <c r="N336" s="113">
        <v>1323.229</v>
      </c>
      <c r="O336" s="113"/>
      <c r="P336" s="113">
        <v>1323.229</v>
      </c>
      <c r="Q336" s="113"/>
      <c r="R336" s="113">
        <v>1323.229</v>
      </c>
      <c r="S336" s="113"/>
      <c r="T336" s="113">
        <v>79.156575000000004</v>
      </c>
      <c r="U336" s="113"/>
      <c r="V336" s="113">
        <v>79.156575000000004</v>
      </c>
      <c r="W336" s="113"/>
      <c r="X336" s="113"/>
      <c r="Y336" s="113">
        <v>53.444626999999997</v>
      </c>
      <c r="Z336" s="113"/>
      <c r="AA336" s="113">
        <v>53.444626999999997</v>
      </c>
      <c r="AB336" s="113"/>
      <c r="AC336" s="113"/>
      <c r="AD336" s="348">
        <f t="shared" si="17"/>
        <v>0.67517609244715293</v>
      </c>
      <c r="AE336" s="348"/>
      <c r="AF336" s="348">
        <f t="shared" ref="AF336:AF394" si="18">AA336/V336</f>
        <v>0.67517609244715293</v>
      </c>
      <c r="AG336" s="348"/>
      <c r="AH336" s="348"/>
    </row>
    <row r="337" spans="1:34" ht="31.5">
      <c r="A337" s="347" t="s">
        <v>23</v>
      </c>
      <c r="B337" s="337" t="s">
        <v>777</v>
      </c>
      <c r="C337" s="347" t="s">
        <v>396</v>
      </c>
      <c r="D337" s="347"/>
      <c r="E337" s="369" t="s">
        <v>778</v>
      </c>
      <c r="F337" s="369" t="s">
        <v>779</v>
      </c>
      <c r="G337" s="113">
        <v>394930.967</v>
      </c>
      <c r="H337" s="113">
        <v>364096.54200000002</v>
      </c>
      <c r="I337" s="113"/>
      <c r="J337" s="113"/>
      <c r="K337" s="113">
        <v>30834.424999999999</v>
      </c>
      <c r="L337" s="113">
        <v>199907.71</v>
      </c>
      <c r="M337" s="113">
        <v>188012.11799999999</v>
      </c>
      <c r="N337" s="113"/>
      <c r="O337" s="113">
        <v>11895.592000000001</v>
      </c>
      <c r="P337" s="113">
        <v>193451.274</v>
      </c>
      <c r="Q337" s="113">
        <v>176183.826</v>
      </c>
      <c r="R337" s="113"/>
      <c r="S337" s="113">
        <v>17267.448</v>
      </c>
      <c r="T337" s="113">
        <v>4566.375873</v>
      </c>
      <c r="U337" s="113"/>
      <c r="V337" s="113"/>
      <c r="W337" s="113"/>
      <c r="X337" s="113">
        <v>4566.375873</v>
      </c>
      <c r="Y337" s="113">
        <v>3295.9597709999998</v>
      </c>
      <c r="Z337" s="113"/>
      <c r="AA337" s="113"/>
      <c r="AB337" s="113"/>
      <c r="AC337" s="113">
        <v>3295.9597709999998</v>
      </c>
      <c r="AD337" s="348">
        <f t="shared" si="17"/>
        <v>0.72178897722552848</v>
      </c>
      <c r="AE337" s="348"/>
      <c r="AF337" s="348"/>
      <c r="AG337" s="348"/>
      <c r="AH337" s="348">
        <f>AC337/X337</f>
        <v>0.72178897722552848</v>
      </c>
    </row>
    <row r="338" spans="1:34" ht="30">
      <c r="A338" s="347" t="s">
        <v>23</v>
      </c>
      <c r="B338" s="337" t="s">
        <v>780</v>
      </c>
      <c r="C338" s="347" t="s">
        <v>396</v>
      </c>
      <c r="D338" s="347"/>
      <c r="E338" s="369" t="s">
        <v>781</v>
      </c>
      <c r="F338" s="369" t="s">
        <v>782</v>
      </c>
      <c r="G338" s="113">
        <v>700728</v>
      </c>
      <c r="H338" s="113">
        <v>616811</v>
      </c>
      <c r="I338" s="113">
        <v>68101</v>
      </c>
      <c r="J338" s="113"/>
      <c r="K338" s="113">
        <v>15816</v>
      </c>
      <c r="L338" s="113">
        <v>335093.86099999998</v>
      </c>
      <c r="M338" s="113">
        <v>306951.34399999998</v>
      </c>
      <c r="N338" s="113">
        <v>16529.307000000001</v>
      </c>
      <c r="O338" s="113">
        <v>11613.21</v>
      </c>
      <c r="P338" s="113">
        <v>350107.15899999999</v>
      </c>
      <c r="Q338" s="113">
        <v>318929.84399999998</v>
      </c>
      <c r="R338" s="113">
        <v>17900</v>
      </c>
      <c r="S338" s="113">
        <v>13277.315000000001</v>
      </c>
      <c r="T338" s="113">
        <v>6881.331666</v>
      </c>
      <c r="U338" s="113"/>
      <c r="V338" s="113"/>
      <c r="W338" s="113"/>
      <c r="X338" s="113">
        <v>6881.331666</v>
      </c>
      <c r="Y338" s="113">
        <v>4239.42119</v>
      </c>
      <c r="Z338" s="113"/>
      <c r="AA338" s="113"/>
      <c r="AB338" s="113"/>
      <c r="AC338" s="113">
        <v>4239.42119</v>
      </c>
      <c r="AD338" s="348">
        <f t="shared" si="17"/>
        <v>0.61607569519524452</v>
      </c>
      <c r="AE338" s="348"/>
      <c r="AF338" s="348"/>
      <c r="AG338" s="348"/>
      <c r="AH338" s="348">
        <f>AC338/X338</f>
        <v>0.61607569519524452</v>
      </c>
    </row>
    <row r="339" spans="1:34" ht="63">
      <c r="A339" s="347" t="s">
        <v>23</v>
      </c>
      <c r="B339" s="337" t="s">
        <v>783</v>
      </c>
      <c r="C339" s="347" t="s">
        <v>600</v>
      </c>
      <c r="D339" s="347"/>
      <c r="E339" s="369" t="s">
        <v>248</v>
      </c>
      <c r="F339" s="369" t="s">
        <v>691</v>
      </c>
      <c r="G339" s="113">
        <v>19135.272000000001</v>
      </c>
      <c r="H339" s="113"/>
      <c r="I339" s="113">
        <v>19135.272000000001</v>
      </c>
      <c r="J339" s="113"/>
      <c r="K339" s="113"/>
      <c r="L339" s="113">
        <v>13776.833000000001</v>
      </c>
      <c r="M339" s="113"/>
      <c r="N339" s="113">
        <v>12000</v>
      </c>
      <c r="O339" s="113">
        <v>1776.8330000000001</v>
      </c>
      <c r="P339" s="113">
        <v>13776.833000000001</v>
      </c>
      <c r="Q339" s="113"/>
      <c r="R339" s="113">
        <v>12000</v>
      </c>
      <c r="S339" s="113">
        <v>1776.8330000000001</v>
      </c>
      <c r="T339" s="113">
        <v>1777</v>
      </c>
      <c r="U339" s="113"/>
      <c r="V339" s="113"/>
      <c r="W339" s="113"/>
      <c r="X339" s="113">
        <v>1777</v>
      </c>
      <c r="Y339" s="113">
        <v>1776.8330000000001</v>
      </c>
      <c r="Z339" s="113"/>
      <c r="AA339" s="113"/>
      <c r="AB339" s="113"/>
      <c r="AC339" s="113">
        <v>1776.8330000000001</v>
      </c>
      <c r="AD339" s="348">
        <f t="shared" si="17"/>
        <v>0.99990602138435569</v>
      </c>
      <c r="AE339" s="348"/>
      <c r="AF339" s="348"/>
      <c r="AG339" s="348"/>
      <c r="AH339" s="348">
        <f>AC339/X339</f>
        <v>0.99990602138435569</v>
      </c>
    </row>
    <row r="340" spans="1:34" ht="63">
      <c r="A340" s="347" t="s">
        <v>23</v>
      </c>
      <c r="B340" s="337" t="s">
        <v>784</v>
      </c>
      <c r="C340" s="347" t="s">
        <v>217</v>
      </c>
      <c r="D340" s="347"/>
      <c r="E340" s="369" t="s">
        <v>363</v>
      </c>
      <c r="F340" s="369" t="s">
        <v>785</v>
      </c>
      <c r="G340" s="113">
        <v>340.44099999999997</v>
      </c>
      <c r="H340" s="113"/>
      <c r="I340" s="113"/>
      <c r="J340" s="113"/>
      <c r="K340" s="113">
        <v>340.44099999999997</v>
      </c>
      <c r="L340" s="113">
        <v>339.42500000000001</v>
      </c>
      <c r="M340" s="113"/>
      <c r="N340" s="113"/>
      <c r="O340" s="113">
        <v>339.42500000000001</v>
      </c>
      <c r="P340" s="113">
        <v>339.42500000000001</v>
      </c>
      <c r="Q340" s="113"/>
      <c r="R340" s="113"/>
      <c r="S340" s="113">
        <v>339.42500000000001</v>
      </c>
      <c r="T340" s="113">
        <v>47.424999999999997</v>
      </c>
      <c r="U340" s="113"/>
      <c r="V340" s="113"/>
      <c r="W340" s="113"/>
      <c r="X340" s="113">
        <v>47.424999999999997</v>
      </c>
      <c r="Y340" s="113">
        <v>47.424999999999997</v>
      </c>
      <c r="Z340" s="113"/>
      <c r="AA340" s="113"/>
      <c r="AB340" s="113"/>
      <c r="AC340" s="113">
        <v>47.424999999999997</v>
      </c>
      <c r="AD340" s="348">
        <f t="shared" si="17"/>
        <v>1</v>
      </c>
      <c r="AE340" s="348"/>
      <c r="AF340" s="348"/>
      <c r="AG340" s="348"/>
      <c r="AH340" s="348">
        <f>AC340/X340</f>
        <v>1</v>
      </c>
    </row>
    <row r="341" spans="1:34" ht="31.5">
      <c r="A341" s="347" t="s">
        <v>23</v>
      </c>
      <c r="B341" s="337" t="s">
        <v>786</v>
      </c>
      <c r="C341" s="347" t="s">
        <v>261</v>
      </c>
      <c r="D341" s="347"/>
      <c r="E341" s="369" t="s">
        <v>363</v>
      </c>
      <c r="F341" s="369" t="s">
        <v>787</v>
      </c>
      <c r="G341" s="113">
        <v>4678.8549999999996</v>
      </c>
      <c r="H341" s="113"/>
      <c r="I341" s="113"/>
      <c r="J341" s="113"/>
      <c r="K341" s="113">
        <v>4678.8549999999996</v>
      </c>
      <c r="L341" s="113">
        <v>3225.44</v>
      </c>
      <c r="M341" s="113"/>
      <c r="N341" s="113"/>
      <c r="O341" s="113">
        <v>3225.44</v>
      </c>
      <c r="P341" s="113">
        <v>3047.52</v>
      </c>
      <c r="Q341" s="113"/>
      <c r="R341" s="113"/>
      <c r="S341" s="113">
        <v>3047.52</v>
      </c>
      <c r="T341" s="113">
        <v>148.47990000000004</v>
      </c>
      <c r="U341" s="113"/>
      <c r="V341" s="113"/>
      <c r="W341" s="113"/>
      <c r="X341" s="113">
        <v>148.47990000000004</v>
      </c>
      <c r="Y341" s="113">
        <v>148</v>
      </c>
      <c r="Z341" s="113"/>
      <c r="AA341" s="113"/>
      <c r="AB341" s="113"/>
      <c r="AC341" s="113">
        <v>148</v>
      </c>
      <c r="AD341" s="348">
        <f t="shared" si="17"/>
        <v>0.99676791269390641</v>
      </c>
      <c r="AE341" s="348"/>
      <c r="AF341" s="348"/>
      <c r="AG341" s="348"/>
      <c r="AH341" s="348">
        <f>AC341/X341</f>
        <v>0.99676791269390641</v>
      </c>
    </row>
    <row r="342" spans="1:34" ht="31.5">
      <c r="A342" s="347" t="s">
        <v>23</v>
      </c>
      <c r="B342" s="337" t="s">
        <v>788</v>
      </c>
      <c r="C342" s="347" t="s">
        <v>287</v>
      </c>
      <c r="D342" s="347"/>
      <c r="E342" s="369" t="s">
        <v>281</v>
      </c>
      <c r="F342" s="369" t="s">
        <v>789</v>
      </c>
      <c r="G342" s="113">
        <v>19011.332999999999</v>
      </c>
      <c r="H342" s="113"/>
      <c r="I342" s="113">
        <v>19011.332999999999</v>
      </c>
      <c r="J342" s="113"/>
      <c r="K342" s="113"/>
      <c r="L342" s="113">
        <v>12277.630999999999</v>
      </c>
      <c r="M342" s="113"/>
      <c r="N342" s="113">
        <v>12277.630999999999</v>
      </c>
      <c r="O342" s="113"/>
      <c r="P342" s="113">
        <v>16866.023000000001</v>
      </c>
      <c r="Q342" s="113"/>
      <c r="R342" s="113">
        <v>16866.023000000001</v>
      </c>
      <c r="S342" s="113"/>
      <c r="T342" s="113">
        <v>12935.767110000001</v>
      </c>
      <c r="U342" s="113"/>
      <c r="V342" s="113">
        <v>12935.767110000001</v>
      </c>
      <c r="W342" s="113"/>
      <c r="X342" s="113"/>
      <c r="Y342" s="113">
        <v>5385.3251099999998</v>
      </c>
      <c r="Z342" s="113"/>
      <c r="AA342" s="113">
        <v>5385.3251099999998</v>
      </c>
      <c r="AB342" s="113"/>
      <c r="AC342" s="113"/>
      <c r="AD342" s="348">
        <f t="shared" si="17"/>
        <v>0.41631277559387042</v>
      </c>
      <c r="AE342" s="348"/>
      <c r="AF342" s="348">
        <f t="shared" si="18"/>
        <v>0.41631277559387042</v>
      </c>
      <c r="AG342" s="348"/>
      <c r="AH342" s="348"/>
    </row>
    <row r="343" spans="1:34" ht="63">
      <c r="A343" s="347" t="s">
        <v>23</v>
      </c>
      <c r="B343" s="337" t="s">
        <v>790</v>
      </c>
      <c r="C343" s="347" t="s">
        <v>427</v>
      </c>
      <c r="D343" s="347"/>
      <c r="E343" s="369">
        <v>2014</v>
      </c>
      <c r="F343" s="369" t="s">
        <v>791</v>
      </c>
      <c r="G343" s="113">
        <v>17364.412</v>
      </c>
      <c r="H343" s="113"/>
      <c r="I343" s="113">
        <v>15627.971</v>
      </c>
      <c r="J343" s="113"/>
      <c r="K343" s="113">
        <v>1736.441</v>
      </c>
      <c r="L343" s="113">
        <v>13826</v>
      </c>
      <c r="M343" s="113"/>
      <c r="N343" s="113">
        <v>13826</v>
      </c>
      <c r="O343" s="113"/>
      <c r="P343" s="113">
        <v>13826</v>
      </c>
      <c r="Q343" s="113"/>
      <c r="R343" s="113">
        <v>13826</v>
      </c>
      <c r="S343" s="113"/>
      <c r="T343" s="113">
        <v>1826</v>
      </c>
      <c r="U343" s="113"/>
      <c r="V343" s="113">
        <v>1826</v>
      </c>
      <c r="W343" s="113"/>
      <c r="X343" s="113"/>
      <c r="Y343" s="113">
        <v>1826</v>
      </c>
      <c r="Z343" s="113"/>
      <c r="AA343" s="113">
        <v>1826</v>
      </c>
      <c r="AB343" s="113"/>
      <c r="AC343" s="113"/>
      <c r="AD343" s="348">
        <f t="shared" si="17"/>
        <v>1</v>
      </c>
      <c r="AE343" s="348"/>
      <c r="AF343" s="348">
        <f t="shared" si="18"/>
        <v>1</v>
      </c>
      <c r="AG343" s="348"/>
      <c r="AH343" s="348"/>
    </row>
    <row r="344" spans="1:34" ht="31.5">
      <c r="A344" s="347" t="s">
        <v>23</v>
      </c>
      <c r="B344" s="337" t="s">
        <v>792</v>
      </c>
      <c r="C344" s="347" t="s">
        <v>284</v>
      </c>
      <c r="D344" s="347"/>
      <c r="E344" s="369" t="s">
        <v>378</v>
      </c>
      <c r="F344" s="369" t="s">
        <v>793</v>
      </c>
      <c r="G344" s="113">
        <v>29456.742999999999</v>
      </c>
      <c r="H344" s="113"/>
      <c r="I344" s="113">
        <v>24000</v>
      </c>
      <c r="J344" s="113"/>
      <c r="K344" s="113">
        <v>5456.7430000000004</v>
      </c>
      <c r="L344" s="113">
        <v>28673.844000000001</v>
      </c>
      <c r="M344" s="113"/>
      <c r="N344" s="113">
        <v>24000</v>
      </c>
      <c r="O344" s="113">
        <v>4673.8440000000001</v>
      </c>
      <c r="P344" s="113">
        <v>27800</v>
      </c>
      <c r="Q344" s="113"/>
      <c r="R344" s="113">
        <v>24000</v>
      </c>
      <c r="S344" s="113">
        <v>3800</v>
      </c>
      <c r="T344" s="113">
        <v>2890.5230000000001</v>
      </c>
      <c r="U344" s="113"/>
      <c r="V344" s="113"/>
      <c r="W344" s="113"/>
      <c r="X344" s="113">
        <v>2890.5230000000001</v>
      </c>
      <c r="Y344" s="113">
        <v>2871.21</v>
      </c>
      <c r="Z344" s="113"/>
      <c r="AA344" s="113"/>
      <c r="AB344" s="113"/>
      <c r="AC344" s="113">
        <v>2871.21</v>
      </c>
      <c r="AD344" s="348">
        <f t="shared" si="17"/>
        <v>0.99331851017964568</v>
      </c>
      <c r="AE344" s="348"/>
      <c r="AF344" s="348"/>
      <c r="AG344" s="348"/>
      <c r="AH344" s="348">
        <f t="shared" ref="AH344:AH349" si="19">AC344/X344</f>
        <v>0.99331851017964568</v>
      </c>
    </row>
    <row r="345" spans="1:34" ht="47.25">
      <c r="A345" s="347" t="s">
        <v>23</v>
      </c>
      <c r="B345" s="337" t="s">
        <v>794</v>
      </c>
      <c r="C345" s="347" t="s">
        <v>396</v>
      </c>
      <c r="D345" s="347"/>
      <c r="E345" s="369" t="s">
        <v>236</v>
      </c>
      <c r="F345" s="369" t="s">
        <v>795</v>
      </c>
      <c r="G345" s="113">
        <v>3175.297</v>
      </c>
      <c r="H345" s="113"/>
      <c r="I345" s="113"/>
      <c r="J345" s="113"/>
      <c r="K345" s="113">
        <v>3175.297</v>
      </c>
      <c r="L345" s="113">
        <v>2527.3119999999999</v>
      </c>
      <c r="M345" s="113"/>
      <c r="N345" s="113"/>
      <c r="O345" s="113">
        <v>2527.3119999999999</v>
      </c>
      <c r="P345" s="113">
        <v>2527.3119999999999</v>
      </c>
      <c r="Q345" s="113"/>
      <c r="R345" s="113"/>
      <c r="S345" s="113">
        <v>2527.3119999999999</v>
      </c>
      <c r="T345" s="113">
        <v>1216.3119999999999</v>
      </c>
      <c r="U345" s="113"/>
      <c r="V345" s="113"/>
      <c r="W345" s="113"/>
      <c r="X345" s="113">
        <v>1216.3119999999999</v>
      </c>
      <c r="Y345" s="113">
        <v>1216.3119999999999</v>
      </c>
      <c r="Z345" s="113"/>
      <c r="AA345" s="113"/>
      <c r="AB345" s="113"/>
      <c r="AC345" s="113">
        <v>1216.3119999999999</v>
      </c>
      <c r="AD345" s="348">
        <f t="shared" si="17"/>
        <v>1</v>
      </c>
      <c r="AE345" s="348"/>
      <c r="AF345" s="348"/>
      <c r="AG345" s="348"/>
      <c r="AH345" s="348">
        <f t="shared" si="19"/>
        <v>1</v>
      </c>
    </row>
    <row r="346" spans="1:34" ht="78.75">
      <c r="A346" s="347" t="s">
        <v>23</v>
      </c>
      <c r="B346" s="337" t="s">
        <v>796</v>
      </c>
      <c r="C346" s="347" t="s">
        <v>265</v>
      </c>
      <c r="D346" s="347"/>
      <c r="E346" s="369" t="s">
        <v>506</v>
      </c>
      <c r="F346" s="369" t="s">
        <v>797</v>
      </c>
      <c r="G346" s="113">
        <v>25559.264999999999</v>
      </c>
      <c r="H346" s="113"/>
      <c r="I346" s="113">
        <v>20880</v>
      </c>
      <c r="J346" s="113"/>
      <c r="K346" s="113">
        <v>4679.2650000000003</v>
      </c>
      <c r="L346" s="113">
        <v>21276.485000000001</v>
      </c>
      <c r="M346" s="113"/>
      <c r="N346" s="113">
        <v>17377.921999999999</v>
      </c>
      <c r="O346" s="113">
        <v>3898.5630000000001</v>
      </c>
      <c r="P346" s="113">
        <v>20840.901000000002</v>
      </c>
      <c r="Q346" s="113">
        <v>1960</v>
      </c>
      <c r="R346" s="113">
        <v>15000</v>
      </c>
      <c r="S346" s="113">
        <v>3880.9009999999998</v>
      </c>
      <c r="T346" s="113">
        <v>7625.7892949999996</v>
      </c>
      <c r="U346" s="113"/>
      <c r="V346" s="113">
        <v>6517.4492950000003</v>
      </c>
      <c r="W346" s="113"/>
      <c r="X346" s="113">
        <f>T346-V346</f>
        <v>1108.3399999999992</v>
      </c>
      <c r="Y346" s="113">
        <v>7436.1342949999998</v>
      </c>
      <c r="Z346" s="113"/>
      <c r="AA346" s="113">
        <v>6467.4492950000003</v>
      </c>
      <c r="AB346" s="113"/>
      <c r="AC346" s="113">
        <v>968.68499999999949</v>
      </c>
      <c r="AD346" s="348">
        <f t="shared" si="17"/>
        <v>0.97512978753237378</v>
      </c>
      <c r="AE346" s="348"/>
      <c r="AF346" s="348">
        <f t="shared" si="18"/>
        <v>0.99232828707415355</v>
      </c>
      <c r="AG346" s="348"/>
      <c r="AH346" s="348">
        <f t="shared" si="19"/>
        <v>0.87399624663911812</v>
      </c>
    </row>
    <row r="347" spans="1:34" ht="63">
      <c r="A347" s="347" t="s">
        <v>23</v>
      </c>
      <c r="B347" s="337" t="s">
        <v>798</v>
      </c>
      <c r="C347" s="347" t="s">
        <v>396</v>
      </c>
      <c r="D347" s="347"/>
      <c r="E347" s="369" t="s">
        <v>236</v>
      </c>
      <c r="F347" s="369" t="s">
        <v>799</v>
      </c>
      <c r="G347" s="113">
        <v>474.64499999999998</v>
      </c>
      <c r="H347" s="113"/>
      <c r="I347" s="113"/>
      <c r="J347" s="113"/>
      <c r="K347" s="113">
        <v>474.64499999999998</v>
      </c>
      <c r="L347" s="113">
        <v>455.88400000000001</v>
      </c>
      <c r="M347" s="113"/>
      <c r="N347" s="113"/>
      <c r="O347" s="113">
        <v>455.88400000000001</v>
      </c>
      <c r="P347" s="113">
        <v>455.88400000000001</v>
      </c>
      <c r="Q347" s="113"/>
      <c r="R347" s="113"/>
      <c r="S347" s="113">
        <v>455.88400000000001</v>
      </c>
      <c r="T347" s="113">
        <v>89.884</v>
      </c>
      <c r="U347" s="113"/>
      <c r="V347" s="113"/>
      <c r="W347" s="113"/>
      <c r="X347" s="113">
        <v>89.884</v>
      </c>
      <c r="Y347" s="113">
        <v>89.884</v>
      </c>
      <c r="Z347" s="113"/>
      <c r="AA347" s="113"/>
      <c r="AB347" s="113"/>
      <c r="AC347" s="113">
        <v>89.884</v>
      </c>
      <c r="AD347" s="348">
        <f t="shared" si="17"/>
        <v>1</v>
      </c>
      <c r="AE347" s="348"/>
      <c r="AF347" s="348"/>
      <c r="AG347" s="348"/>
      <c r="AH347" s="348">
        <f t="shared" si="19"/>
        <v>1</v>
      </c>
    </row>
    <row r="348" spans="1:34" ht="31.5">
      <c r="A348" s="347" t="s">
        <v>23</v>
      </c>
      <c r="B348" s="337" t="s">
        <v>800</v>
      </c>
      <c r="C348" s="347" t="s">
        <v>476</v>
      </c>
      <c r="D348" s="347"/>
      <c r="E348" s="369" t="s">
        <v>218</v>
      </c>
      <c r="F348" s="369" t="s">
        <v>801</v>
      </c>
      <c r="G348" s="113">
        <v>8967.7109999999993</v>
      </c>
      <c r="H348" s="113"/>
      <c r="I348" s="113"/>
      <c r="J348" s="113"/>
      <c r="K348" s="113">
        <v>8967.7109999999993</v>
      </c>
      <c r="L348" s="113">
        <v>8526.9349999999995</v>
      </c>
      <c r="M348" s="113"/>
      <c r="N348" s="113"/>
      <c r="O348" s="113">
        <v>8526.9349999999995</v>
      </c>
      <c r="P348" s="113">
        <v>8526.9349999999995</v>
      </c>
      <c r="Q348" s="113"/>
      <c r="R348" s="113"/>
      <c r="S348" s="113">
        <v>8526.9349999999995</v>
      </c>
      <c r="T348" s="113">
        <v>6596.4555</v>
      </c>
      <c r="U348" s="113"/>
      <c r="V348" s="113"/>
      <c r="W348" s="113"/>
      <c r="X348" s="113">
        <v>6596.4555</v>
      </c>
      <c r="Y348" s="113">
        <v>6550.6880000000001</v>
      </c>
      <c r="Z348" s="113"/>
      <c r="AA348" s="113"/>
      <c r="AB348" s="113"/>
      <c r="AC348" s="113">
        <v>6550.6880000000001</v>
      </c>
      <c r="AD348" s="348">
        <f t="shared" si="17"/>
        <v>0.99306180417650058</v>
      </c>
      <c r="AE348" s="348"/>
      <c r="AF348" s="348"/>
      <c r="AG348" s="348"/>
      <c r="AH348" s="348">
        <f t="shared" si="19"/>
        <v>0.99306180417650058</v>
      </c>
    </row>
    <row r="349" spans="1:34" ht="47.25">
      <c r="A349" s="347" t="s">
        <v>23</v>
      </c>
      <c r="B349" s="337" t="s">
        <v>802</v>
      </c>
      <c r="C349" s="347"/>
      <c r="D349" s="347"/>
      <c r="E349" s="369"/>
      <c r="F349" s="369"/>
      <c r="G349" s="113"/>
      <c r="H349" s="113"/>
      <c r="I349" s="113"/>
      <c r="J349" s="113"/>
      <c r="K349" s="113"/>
      <c r="L349" s="113"/>
      <c r="M349" s="113"/>
      <c r="N349" s="113"/>
      <c r="O349" s="113"/>
      <c r="P349" s="113"/>
      <c r="Q349" s="113"/>
      <c r="R349" s="113"/>
      <c r="S349" s="113"/>
      <c r="T349" s="113">
        <v>203</v>
      </c>
      <c r="U349" s="113"/>
      <c r="V349" s="113"/>
      <c r="W349" s="113"/>
      <c r="X349" s="113">
        <v>203</v>
      </c>
      <c r="Y349" s="113">
        <v>203</v>
      </c>
      <c r="Z349" s="113"/>
      <c r="AA349" s="113"/>
      <c r="AB349" s="113"/>
      <c r="AC349" s="113">
        <v>203</v>
      </c>
      <c r="AD349" s="348">
        <f t="shared" si="17"/>
        <v>1</v>
      </c>
      <c r="AE349" s="348"/>
      <c r="AF349" s="348"/>
      <c r="AG349" s="348"/>
      <c r="AH349" s="348">
        <f t="shared" si="19"/>
        <v>1</v>
      </c>
    </row>
    <row r="350" spans="1:34" ht="47.25">
      <c r="A350" s="347" t="s">
        <v>23</v>
      </c>
      <c r="B350" s="337" t="s">
        <v>803</v>
      </c>
      <c r="C350" s="347" t="s">
        <v>396</v>
      </c>
      <c r="D350" s="347"/>
      <c r="E350" s="369" t="s">
        <v>295</v>
      </c>
      <c r="F350" s="369" t="s">
        <v>804</v>
      </c>
      <c r="G350" s="113">
        <v>84480.698000000004</v>
      </c>
      <c r="H350" s="113"/>
      <c r="I350" s="113">
        <v>80000</v>
      </c>
      <c r="J350" s="113"/>
      <c r="K350" s="113">
        <v>4480.6980000000003</v>
      </c>
      <c r="L350" s="113">
        <v>4996.7479999999996</v>
      </c>
      <c r="M350" s="113"/>
      <c r="N350" s="113">
        <v>4846.7479999999996</v>
      </c>
      <c r="O350" s="113">
        <v>150</v>
      </c>
      <c r="P350" s="113">
        <v>10149.753000000001</v>
      </c>
      <c r="Q350" s="113"/>
      <c r="R350" s="113">
        <v>9999.7530000000006</v>
      </c>
      <c r="S350" s="113">
        <v>150</v>
      </c>
      <c r="T350" s="113">
        <v>9911.2690000000002</v>
      </c>
      <c r="U350" s="113"/>
      <c r="V350" s="113">
        <v>9911.2690000000002</v>
      </c>
      <c r="W350" s="113"/>
      <c r="X350" s="113"/>
      <c r="Y350" s="113">
        <v>3631.0219999999999</v>
      </c>
      <c r="Z350" s="113"/>
      <c r="AA350" s="113">
        <v>3631.0219999999999</v>
      </c>
      <c r="AB350" s="113"/>
      <c r="AC350" s="113"/>
      <c r="AD350" s="348">
        <f t="shared" si="17"/>
        <v>0.3663528857909113</v>
      </c>
      <c r="AE350" s="348"/>
      <c r="AF350" s="348">
        <f t="shared" si="18"/>
        <v>0.3663528857909113</v>
      </c>
      <c r="AG350" s="348"/>
      <c r="AH350" s="348"/>
    </row>
    <row r="351" spans="1:34" ht="63">
      <c r="A351" s="347" t="s">
        <v>23</v>
      </c>
      <c r="B351" s="337" t="s">
        <v>805</v>
      </c>
      <c r="C351" s="347" t="s">
        <v>396</v>
      </c>
      <c r="D351" s="347"/>
      <c r="E351" s="369" t="s">
        <v>276</v>
      </c>
      <c r="F351" s="369" t="s">
        <v>806</v>
      </c>
      <c r="G351" s="113">
        <v>80002.163</v>
      </c>
      <c r="H351" s="113"/>
      <c r="I351" s="113">
        <v>40600</v>
      </c>
      <c r="J351" s="113"/>
      <c r="K351" s="113">
        <v>39402.163</v>
      </c>
      <c r="L351" s="113">
        <v>18007.351999999999</v>
      </c>
      <c r="M351" s="113"/>
      <c r="N351" s="113">
        <v>15000</v>
      </c>
      <c r="O351" s="113">
        <v>3007.3519999999999</v>
      </c>
      <c r="P351" s="113">
        <v>35085</v>
      </c>
      <c r="Q351" s="113"/>
      <c r="R351" s="113">
        <v>22000</v>
      </c>
      <c r="S351" s="113">
        <v>13085</v>
      </c>
      <c r="T351" s="113">
        <f>13647.888+17775</f>
        <v>31422.887999999999</v>
      </c>
      <c r="U351" s="113"/>
      <c r="V351" s="113">
        <f>15000+3921.381</f>
        <v>18921.381000000001</v>
      </c>
      <c r="W351" s="113"/>
      <c r="X351" s="113">
        <f>T351-V351</f>
        <v>12501.506999999998</v>
      </c>
      <c r="Y351" s="113">
        <v>13572.66</v>
      </c>
      <c r="Z351" s="113"/>
      <c r="AA351" s="113">
        <v>10537.458000000001</v>
      </c>
      <c r="AB351" s="113"/>
      <c r="AC351" s="113">
        <v>3035.2019999999993</v>
      </c>
      <c r="AD351" s="348">
        <f t="shared" si="17"/>
        <v>0.43193547327667653</v>
      </c>
      <c r="AE351" s="348"/>
      <c r="AF351" s="348">
        <f t="shared" si="18"/>
        <v>0.55690744771747902</v>
      </c>
      <c r="AG351" s="348"/>
      <c r="AH351" s="348">
        <f t="shared" ref="AH351:AH363" si="20">AC351/X351</f>
        <v>0.24278688961258829</v>
      </c>
    </row>
    <row r="352" spans="1:34" ht="63">
      <c r="A352" s="347" t="s">
        <v>23</v>
      </c>
      <c r="B352" s="337" t="s">
        <v>807</v>
      </c>
      <c r="C352" s="347" t="s">
        <v>213</v>
      </c>
      <c r="D352" s="347"/>
      <c r="E352" s="369" t="s">
        <v>281</v>
      </c>
      <c r="F352" s="369" t="s">
        <v>808</v>
      </c>
      <c r="G352" s="113">
        <v>910.58699999999999</v>
      </c>
      <c r="H352" s="113"/>
      <c r="I352" s="113"/>
      <c r="J352" s="113"/>
      <c r="K352" s="113">
        <v>910.58699999999999</v>
      </c>
      <c r="L352" s="113">
        <v>806.84500000000003</v>
      </c>
      <c r="M352" s="113"/>
      <c r="N352" s="113"/>
      <c r="O352" s="113">
        <v>806.84500000000003</v>
      </c>
      <c r="P352" s="113">
        <v>724.8</v>
      </c>
      <c r="Q352" s="113"/>
      <c r="R352" s="113"/>
      <c r="S352" s="113">
        <v>724.8</v>
      </c>
      <c r="T352" s="113">
        <v>415.5</v>
      </c>
      <c r="U352" s="113"/>
      <c r="V352" s="113"/>
      <c r="W352" s="113"/>
      <c r="X352" s="113">
        <v>415.5</v>
      </c>
      <c r="Y352" s="113">
        <v>390.3</v>
      </c>
      <c r="Z352" s="113"/>
      <c r="AA352" s="113"/>
      <c r="AB352" s="113"/>
      <c r="AC352" s="113">
        <v>390.3</v>
      </c>
      <c r="AD352" s="348">
        <f t="shared" si="17"/>
        <v>0.93935018050541519</v>
      </c>
      <c r="AE352" s="348"/>
      <c r="AF352" s="348"/>
      <c r="AG352" s="348"/>
      <c r="AH352" s="348">
        <f t="shared" si="20"/>
        <v>0.93935018050541519</v>
      </c>
    </row>
    <row r="353" spans="1:34" ht="31.5">
      <c r="A353" s="347" t="s">
        <v>23</v>
      </c>
      <c r="B353" s="337" t="s">
        <v>809</v>
      </c>
      <c r="C353" s="347" t="s">
        <v>427</v>
      </c>
      <c r="D353" s="347"/>
      <c r="E353" s="369" t="s">
        <v>276</v>
      </c>
      <c r="F353" s="369" t="s">
        <v>810</v>
      </c>
      <c r="G353" s="113">
        <v>120.065</v>
      </c>
      <c r="H353" s="113"/>
      <c r="I353" s="113">
        <v>80000</v>
      </c>
      <c r="J353" s="113"/>
      <c r="K353" s="113">
        <v>40065</v>
      </c>
      <c r="L353" s="113">
        <v>22107.915000000001</v>
      </c>
      <c r="M353" s="113"/>
      <c r="N353" s="113">
        <v>19802.915000000001</v>
      </c>
      <c r="O353" s="113">
        <v>2305</v>
      </c>
      <c r="P353" s="113">
        <v>25080</v>
      </c>
      <c r="Q353" s="113"/>
      <c r="R353" s="113">
        <v>19000</v>
      </c>
      <c r="S353" s="113">
        <v>6080</v>
      </c>
      <c r="T353" s="113">
        <v>23554.10555</v>
      </c>
      <c r="U353" s="113"/>
      <c r="V353" s="113">
        <v>17737.10555</v>
      </c>
      <c r="W353" s="113"/>
      <c r="X353" s="113">
        <f>T353-V353</f>
        <v>5817</v>
      </c>
      <c r="Y353" s="113">
        <f>AA353+AC353</f>
        <v>19498.867896</v>
      </c>
      <c r="Z353" s="113"/>
      <c r="AA353" s="113">
        <v>17649.44555</v>
      </c>
      <c r="AB353" s="113"/>
      <c r="AC353" s="113">
        <v>1849.4223460000001</v>
      </c>
      <c r="AD353" s="348">
        <f t="shared" si="17"/>
        <v>0.82783308644891418</v>
      </c>
      <c r="AE353" s="348"/>
      <c r="AF353" s="348">
        <f t="shared" si="18"/>
        <v>0.9950578182131864</v>
      </c>
      <c r="AG353" s="348"/>
      <c r="AH353" s="348">
        <f t="shared" si="20"/>
        <v>0.31793404607185838</v>
      </c>
    </row>
    <row r="354" spans="1:34" ht="45">
      <c r="A354" s="347" t="s">
        <v>23</v>
      </c>
      <c r="B354" s="337" t="s">
        <v>811</v>
      </c>
      <c r="C354" s="347" t="s">
        <v>213</v>
      </c>
      <c r="D354" s="347"/>
      <c r="E354" s="369" t="s">
        <v>281</v>
      </c>
      <c r="F354" s="369" t="s">
        <v>812</v>
      </c>
      <c r="G354" s="113">
        <v>1394.174</v>
      </c>
      <c r="H354" s="113"/>
      <c r="I354" s="113"/>
      <c r="J354" s="113"/>
      <c r="K354" s="113">
        <v>1394.174</v>
      </c>
      <c r="L354" s="113">
        <v>1319.893</v>
      </c>
      <c r="M354" s="113"/>
      <c r="N354" s="113"/>
      <c r="O354" s="113">
        <v>1319.893</v>
      </c>
      <c r="P354" s="113">
        <v>1197.5229999999999</v>
      </c>
      <c r="Q354" s="113"/>
      <c r="R354" s="113"/>
      <c r="S354" s="113">
        <v>1197.5229999999999</v>
      </c>
      <c r="T354" s="113">
        <v>820</v>
      </c>
      <c r="U354" s="113"/>
      <c r="V354" s="113"/>
      <c r="W354" s="113"/>
      <c r="X354" s="113">
        <v>820</v>
      </c>
      <c r="Y354" s="113">
        <v>809.572</v>
      </c>
      <c r="Z354" s="113"/>
      <c r="AA354" s="113"/>
      <c r="AB354" s="113"/>
      <c r="AC354" s="113">
        <v>809.572</v>
      </c>
      <c r="AD354" s="348">
        <f t="shared" si="17"/>
        <v>0.98728292682926833</v>
      </c>
      <c r="AE354" s="348"/>
      <c r="AF354" s="348"/>
      <c r="AG354" s="348"/>
      <c r="AH354" s="348">
        <f t="shared" si="20"/>
        <v>0.98728292682926833</v>
      </c>
    </row>
    <row r="355" spans="1:34" ht="45">
      <c r="A355" s="347" t="s">
        <v>23</v>
      </c>
      <c r="B355" s="337" t="s">
        <v>813</v>
      </c>
      <c r="C355" s="347" t="s">
        <v>213</v>
      </c>
      <c r="D355" s="347"/>
      <c r="E355" s="369" t="s">
        <v>281</v>
      </c>
      <c r="F355" s="369" t="s">
        <v>814</v>
      </c>
      <c r="G355" s="113">
        <v>1770.547</v>
      </c>
      <c r="H355" s="113"/>
      <c r="I355" s="113"/>
      <c r="J355" s="113"/>
      <c r="K355" s="113">
        <v>1770.547</v>
      </c>
      <c r="L355" s="113">
        <v>1481.8920000000001</v>
      </c>
      <c r="M355" s="113"/>
      <c r="N355" s="113"/>
      <c r="O355" s="113">
        <v>1481.8920000000001</v>
      </c>
      <c r="P355" s="113">
        <v>1300</v>
      </c>
      <c r="Q355" s="113"/>
      <c r="R355" s="113"/>
      <c r="S355" s="113">
        <v>1300</v>
      </c>
      <c r="T355" s="113">
        <v>730</v>
      </c>
      <c r="U355" s="113"/>
      <c r="V355" s="113"/>
      <c r="W355" s="113"/>
      <c r="X355" s="113">
        <v>730</v>
      </c>
      <c r="Y355" s="113">
        <v>730</v>
      </c>
      <c r="Z355" s="113"/>
      <c r="AA355" s="113"/>
      <c r="AB355" s="113"/>
      <c r="AC355" s="113">
        <v>730</v>
      </c>
      <c r="AD355" s="348">
        <f t="shared" si="17"/>
        <v>1</v>
      </c>
      <c r="AE355" s="348"/>
      <c r="AF355" s="348"/>
      <c r="AG355" s="348"/>
      <c r="AH355" s="348">
        <f t="shared" si="20"/>
        <v>1</v>
      </c>
    </row>
    <row r="356" spans="1:34" ht="78.75">
      <c r="A356" s="347" t="s">
        <v>23</v>
      </c>
      <c r="B356" s="337" t="s">
        <v>815</v>
      </c>
      <c r="C356" s="347" t="s">
        <v>287</v>
      </c>
      <c r="D356" s="347"/>
      <c r="E356" s="369" t="s">
        <v>577</v>
      </c>
      <c r="F356" s="369" t="s">
        <v>816</v>
      </c>
      <c r="G356" s="113">
        <v>622.38499999999999</v>
      </c>
      <c r="H356" s="113"/>
      <c r="I356" s="113"/>
      <c r="J356" s="113"/>
      <c r="K356" s="113">
        <v>622.38499999999999</v>
      </c>
      <c r="L356" s="113">
        <v>529.42600000000004</v>
      </c>
      <c r="M356" s="113"/>
      <c r="N356" s="113"/>
      <c r="O356" s="113">
        <v>529.42600000000004</v>
      </c>
      <c r="P356" s="113">
        <v>529.42600000000004</v>
      </c>
      <c r="Q356" s="113"/>
      <c r="R356" s="113"/>
      <c r="S356" s="113">
        <v>529.42600000000004</v>
      </c>
      <c r="T356" s="113">
        <v>79.426000000000002</v>
      </c>
      <c r="U356" s="113"/>
      <c r="V356" s="113"/>
      <c r="W356" s="113"/>
      <c r="X356" s="113">
        <v>79.426000000000002</v>
      </c>
      <c r="Y356" s="113">
        <v>79.426000000000002</v>
      </c>
      <c r="Z356" s="113"/>
      <c r="AA356" s="113"/>
      <c r="AB356" s="113"/>
      <c r="AC356" s="113">
        <v>79.426000000000002</v>
      </c>
      <c r="AD356" s="348">
        <f t="shared" si="17"/>
        <v>1</v>
      </c>
      <c r="AE356" s="348"/>
      <c r="AF356" s="348"/>
      <c r="AG356" s="348"/>
      <c r="AH356" s="348">
        <f t="shared" si="20"/>
        <v>1</v>
      </c>
    </row>
    <row r="357" spans="1:34" ht="47.25">
      <c r="A357" s="347" t="s">
        <v>23</v>
      </c>
      <c r="B357" s="337" t="s">
        <v>817</v>
      </c>
      <c r="C357" s="347" t="s">
        <v>427</v>
      </c>
      <c r="D357" s="347"/>
      <c r="E357" s="369" t="s">
        <v>218</v>
      </c>
      <c r="F357" s="369" t="s">
        <v>818</v>
      </c>
      <c r="G357" s="113">
        <v>1199.509</v>
      </c>
      <c r="H357" s="113"/>
      <c r="I357" s="113"/>
      <c r="J357" s="113"/>
      <c r="K357" s="113">
        <v>1199.509</v>
      </c>
      <c r="L357" s="113">
        <v>1031.328</v>
      </c>
      <c r="M357" s="113"/>
      <c r="N357" s="113"/>
      <c r="O357" s="113">
        <v>1031.328</v>
      </c>
      <c r="P357" s="113">
        <v>850</v>
      </c>
      <c r="Q357" s="113"/>
      <c r="R357" s="113"/>
      <c r="S357" s="113">
        <v>850</v>
      </c>
      <c r="T357" s="113">
        <v>419</v>
      </c>
      <c r="U357" s="113"/>
      <c r="V357" s="113"/>
      <c r="W357" s="113"/>
      <c r="X357" s="113">
        <v>419</v>
      </c>
      <c r="Y357" s="113">
        <v>417.40371900000002</v>
      </c>
      <c r="Z357" s="113"/>
      <c r="AA357" s="113"/>
      <c r="AB357" s="113"/>
      <c r="AC357" s="113">
        <v>417.40371900000002</v>
      </c>
      <c r="AD357" s="348">
        <f t="shared" si="17"/>
        <v>0.99619026014319811</v>
      </c>
      <c r="AE357" s="348"/>
      <c r="AF357" s="348"/>
      <c r="AG357" s="348"/>
      <c r="AH357" s="348">
        <f t="shared" si="20"/>
        <v>0.99619026014319811</v>
      </c>
    </row>
    <row r="358" spans="1:34" ht="47.25">
      <c r="A358" s="347" t="s">
        <v>23</v>
      </c>
      <c r="B358" s="337" t="s">
        <v>819</v>
      </c>
      <c r="C358" s="347" t="s">
        <v>213</v>
      </c>
      <c r="D358" s="347"/>
      <c r="E358" s="369">
        <v>2016</v>
      </c>
      <c r="F358" s="369" t="s">
        <v>820</v>
      </c>
      <c r="G358" s="113">
        <v>4305.68</v>
      </c>
      <c r="H358" s="113"/>
      <c r="I358" s="113"/>
      <c r="J358" s="113"/>
      <c r="K358" s="113">
        <v>4305.68</v>
      </c>
      <c r="L358" s="113">
        <v>3178.48</v>
      </c>
      <c r="M358" s="113"/>
      <c r="N358" s="113"/>
      <c r="O358" s="113">
        <v>3178.48</v>
      </c>
      <c r="P358" s="113">
        <v>2846</v>
      </c>
      <c r="Q358" s="113"/>
      <c r="R358" s="113"/>
      <c r="S358" s="113">
        <v>2846</v>
      </c>
      <c r="T358" s="113">
        <v>2753.3811999999998</v>
      </c>
      <c r="U358" s="113"/>
      <c r="V358" s="113"/>
      <c r="W358" s="113"/>
      <c r="X358" s="113">
        <v>2753.3811999999998</v>
      </c>
      <c r="Y358" s="113">
        <v>2699.3811999999998</v>
      </c>
      <c r="Z358" s="113"/>
      <c r="AA358" s="113"/>
      <c r="AB358" s="113"/>
      <c r="AC358" s="113">
        <v>2699.3811999999998</v>
      </c>
      <c r="AD358" s="348">
        <f t="shared" si="17"/>
        <v>0.98038775015969459</v>
      </c>
      <c r="AE358" s="348"/>
      <c r="AF358" s="348"/>
      <c r="AG358" s="348"/>
      <c r="AH358" s="348">
        <f t="shared" si="20"/>
        <v>0.98038775015969459</v>
      </c>
    </row>
    <row r="359" spans="1:34" ht="31.5">
      <c r="A359" s="347" t="s">
        <v>23</v>
      </c>
      <c r="B359" s="337" t="s">
        <v>821</v>
      </c>
      <c r="C359" s="347" t="s">
        <v>362</v>
      </c>
      <c r="D359" s="347"/>
      <c r="E359" s="369" t="s">
        <v>218</v>
      </c>
      <c r="F359" s="369" t="s">
        <v>822</v>
      </c>
      <c r="G359" s="113">
        <v>2593.7719999999999</v>
      </c>
      <c r="H359" s="113"/>
      <c r="I359" s="113"/>
      <c r="J359" s="113"/>
      <c r="K359" s="113">
        <v>2593.7719999999999</v>
      </c>
      <c r="L359" s="113">
        <v>1808.5940000000001</v>
      </c>
      <c r="M359" s="113"/>
      <c r="N359" s="113"/>
      <c r="O359" s="113">
        <v>1808.5940000000001</v>
      </c>
      <c r="P359" s="113">
        <v>1732.317</v>
      </c>
      <c r="Q359" s="113"/>
      <c r="R359" s="113"/>
      <c r="S359" s="113">
        <v>1732.317</v>
      </c>
      <c r="T359" s="113">
        <v>1814.251</v>
      </c>
      <c r="U359" s="113"/>
      <c r="V359" s="113"/>
      <c r="W359" s="113"/>
      <c r="X359" s="113">
        <v>1814.251</v>
      </c>
      <c r="Y359" s="113">
        <v>1630.943</v>
      </c>
      <c r="Z359" s="113"/>
      <c r="AA359" s="113"/>
      <c r="AB359" s="113"/>
      <c r="AC359" s="113">
        <v>1630.943</v>
      </c>
      <c r="AD359" s="348">
        <f t="shared" si="17"/>
        <v>0.89896216124450257</v>
      </c>
      <c r="AE359" s="348"/>
      <c r="AF359" s="348"/>
      <c r="AG359" s="348"/>
      <c r="AH359" s="348">
        <f t="shared" si="20"/>
        <v>0.89896216124450257</v>
      </c>
    </row>
    <row r="360" spans="1:34" ht="45">
      <c r="A360" s="347" t="s">
        <v>23</v>
      </c>
      <c r="B360" s="337" t="s">
        <v>823</v>
      </c>
      <c r="C360" s="347" t="s">
        <v>287</v>
      </c>
      <c r="D360" s="347"/>
      <c r="E360" s="369" t="s">
        <v>281</v>
      </c>
      <c r="F360" s="369" t="s">
        <v>824</v>
      </c>
      <c r="G360" s="113">
        <v>1381.999</v>
      </c>
      <c r="H360" s="113"/>
      <c r="I360" s="113"/>
      <c r="J360" s="113"/>
      <c r="K360" s="113">
        <v>1381.999</v>
      </c>
      <c r="L360" s="113">
        <v>1198.462</v>
      </c>
      <c r="M360" s="113"/>
      <c r="N360" s="113"/>
      <c r="O360" s="113">
        <v>1198.462</v>
      </c>
      <c r="P360" s="113">
        <v>1100</v>
      </c>
      <c r="Q360" s="113"/>
      <c r="R360" s="113"/>
      <c r="S360" s="113">
        <v>1100</v>
      </c>
      <c r="T360" s="113">
        <v>326.00799999999998</v>
      </c>
      <c r="U360" s="113"/>
      <c r="V360" s="113"/>
      <c r="W360" s="113"/>
      <c r="X360" s="113">
        <v>326.00799999999998</v>
      </c>
      <c r="Y360" s="113">
        <v>316.31</v>
      </c>
      <c r="Z360" s="113"/>
      <c r="AA360" s="113"/>
      <c r="AB360" s="113"/>
      <c r="AC360" s="113">
        <v>316.31</v>
      </c>
      <c r="AD360" s="348">
        <f t="shared" si="17"/>
        <v>0.9702522637481289</v>
      </c>
      <c r="AE360" s="348"/>
      <c r="AF360" s="348"/>
      <c r="AG360" s="348"/>
      <c r="AH360" s="348">
        <f t="shared" si="20"/>
        <v>0.9702522637481289</v>
      </c>
    </row>
    <row r="361" spans="1:34" ht="47.25">
      <c r="A361" s="347" t="s">
        <v>23</v>
      </c>
      <c r="B361" s="337" t="s">
        <v>825</v>
      </c>
      <c r="C361" s="347" t="s">
        <v>217</v>
      </c>
      <c r="D361" s="347"/>
      <c r="E361" s="369" t="s">
        <v>290</v>
      </c>
      <c r="F361" s="369" t="s">
        <v>826</v>
      </c>
      <c r="G361" s="113">
        <v>2996.498</v>
      </c>
      <c r="H361" s="113"/>
      <c r="I361" s="113"/>
      <c r="J361" s="113"/>
      <c r="K361" s="113">
        <v>2996.498</v>
      </c>
      <c r="L361" s="113">
        <v>1121.3979999999999</v>
      </c>
      <c r="M361" s="113"/>
      <c r="N361" s="113"/>
      <c r="O361" s="113">
        <v>1121.3979999999999</v>
      </c>
      <c r="P361" s="113">
        <v>1200</v>
      </c>
      <c r="Q361" s="113"/>
      <c r="R361" s="113"/>
      <c r="S361" s="113">
        <v>1200</v>
      </c>
      <c r="T361" s="113">
        <v>1200</v>
      </c>
      <c r="U361" s="113"/>
      <c r="V361" s="113"/>
      <c r="W361" s="113"/>
      <c r="X361" s="113">
        <v>1200</v>
      </c>
      <c r="Y361" s="113">
        <v>92.852999999999994</v>
      </c>
      <c r="Z361" s="113"/>
      <c r="AA361" s="113"/>
      <c r="AB361" s="113"/>
      <c r="AC361" s="113">
        <v>92.852999999999994</v>
      </c>
      <c r="AD361" s="348">
        <f t="shared" si="17"/>
        <v>7.7377500000000002E-2</v>
      </c>
      <c r="AE361" s="348"/>
      <c r="AF361" s="348"/>
      <c r="AG361" s="348"/>
      <c r="AH361" s="348">
        <f t="shared" si="20"/>
        <v>7.7377500000000002E-2</v>
      </c>
    </row>
    <row r="362" spans="1:34" ht="47.25">
      <c r="A362" s="347" t="s">
        <v>23</v>
      </c>
      <c r="B362" s="337" t="s">
        <v>827</v>
      </c>
      <c r="C362" s="347" t="s">
        <v>396</v>
      </c>
      <c r="D362" s="347"/>
      <c r="E362" s="369">
        <v>2017</v>
      </c>
      <c r="F362" s="369" t="s">
        <v>828</v>
      </c>
      <c r="G362" s="113">
        <v>465.971</v>
      </c>
      <c r="H362" s="113"/>
      <c r="I362" s="113"/>
      <c r="J362" s="113"/>
      <c r="K362" s="113">
        <v>465.971</v>
      </c>
      <c r="L362" s="113">
        <v>452.24400000000003</v>
      </c>
      <c r="M362" s="113"/>
      <c r="N362" s="113"/>
      <c r="O362" s="113">
        <v>452.24400000000003</v>
      </c>
      <c r="P362" s="113">
        <v>272.51</v>
      </c>
      <c r="Q362" s="113"/>
      <c r="R362" s="113"/>
      <c r="S362" s="113">
        <v>272.51</v>
      </c>
      <c r="T362" s="113">
        <v>465</v>
      </c>
      <c r="U362" s="113"/>
      <c r="V362" s="113"/>
      <c r="W362" s="113"/>
      <c r="X362" s="113">
        <v>465</v>
      </c>
      <c r="Y362" s="113">
        <v>272.50970000000001</v>
      </c>
      <c r="Z362" s="113"/>
      <c r="AA362" s="113"/>
      <c r="AB362" s="113"/>
      <c r="AC362" s="113">
        <v>272.50970000000001</v>
      </c>
      <c r="AD362" s="348">
        <f t="shared" si="17"/>
        <v>0.58604236559139788</v>
      </c>
      <c r="AE362" s="348"/>
      <c r="AF362" s="348"/>
      <c r="AG362" s="348"/>
      <c r="AH362" s="348">
        <f t="shared" si="20"/>
        <v>0.58604236559139788</v>
      </c>
    </row>
    <row r="363" spans="1:34" ht="31.5">
      <c r="A363" s="347" t="s">
        <v>23</v>
      </c>
      <c r="B363" s="337" t="s">
        <v>829</v>
      </c>
      <c r="C363" s="347"/>
      <c r="D363" s="347"/>
      <c r="E363" s="369"/>
      <c r="F363" s="369"/>
      <c r="G363" s="113">
        <v>481.31299999999999</v>
      </c>
      <c r="H363" s="113"/>
      <c r="I363" s="113"/>
      <c r="J363" s="113"/>
      <c r="K363" s="113">
        <v>481.31299999999999</v>
      </c>
      <c r="L363" s="113">
        <v>26.402999999999999</v>
      </c>
      <c r="M363" s="113"/>
      <c r="N363" s="113"/>
      <c r="O363" s="113">
        <v>26.402999999999999</v>
      </c>
      <c r="P363" s="113">
        <v>26.402999999999999</v>
      </c>
      <c r="Q363" s="113"/>
      <c r="R363" s="113"/>
      <c r="S363" s="113">
        <v>26.402999999999999</v>
      </c>
      <c r="T363" s="113">
        <v>450</v>
      </c>
      <c r="U363" s="113"/>
      <c r="V363" s="113"/>
      <c r="W363" s="113"/>
      <c r="X363" s="113">
        <v>450</v>
      </c>
      <c r="Y363" s="113">
        <v>26.402999999999999</v>
      </c>
      <c r="Z363" s="113"/>
      <c r="AA363" s="113"/>
      <c r="AB363" s="113"/>
      <c r="AC363" s="113">
        <v>26.402999999999999</v>
      </c>
      <c r="AD363" s="348">
        <f t="shared" si="17"/>
        <v>5.8673333333333327E-2</v>
      </c>
      <c r="AE363" s="348"/>
      <c r="AF363" s="348"/>
      <c r="AG363" s="348"/>
      <c r="AH363" s="348">
        <f t="shared" si="20"/>
        <v>5.8673333333333327E-2</v>
      </c>
    </row>
    <row r="364" spans="1:34" s="346" customFormat="1">
      <c r="A364" s="334">
        <v>57</v>
      </c>
      <c r="B364" s="335" t="s">
        <v>182</v>
      </c>
      <c r="C364" s="334"/>
      <c r="D364" s="334"/>
      <c r="E364" s="357"/>
      <c r="F364" s="357"/>
      <c r="G364" s="345"/>
      <c r="H364" s="345"/>
      <c r="I364" s="345"/>
      <c r="J364" s="345"/>
      <c r="K364" s="345"/>
      <c r="L364" s="345"/>
      <c r="M364" s="345"/>
      <c r="N364" s="345"/>
      <c r="O364" s="345"/>
      <c r="P364" s="345"/>
      <c r="Q364" s="345"/>
      <c r="R364" s="345"/>
      <c r="S364" s="345"/>
      <c r="T364" s="345"/>
      <c r="U364" s="345"/>
      <c r="V364" s="345"/>
      <c r="W364" s="345"/>
      <c r="X364" s="345"/>
      <c r="Y364" s="345"/>
      <c r="Z364" s="345"/>
      <c r="AA364" s="345"/>
      <c r="AB364" s="345"/>
      <c r="AC364" s="345"/>
      <c r="AD364" s="348"/>
      <c r="AE364" s="348"/>
      <c r="AF364" s="348"/>
      <c r="AG364" s="348"/>
      <c r="AH364" s="348"/>
    </row>
    <row r="365" spans="1:34" ht="150">
      <c r="A365" s="347" t="s">
        <v>23</v>
      </c>
      <c r="B365" s="337" t="s">
        <v>830</v>
      </c>
      <c r="C365" s="347" t="s">
        <v>831</v>
      </c>
      <c r="D365" s="347"/>
      <c r="E365" s="369" t="s">
        <v>281</v>
      </c>
      <c r="F365" s="369" t="s">
        <v>832</v>
      </c>
      <c r="G365" s="113">
        <v>1470.9190000000001</v>
      </c>
      <c r="H365" s="113"/>
      <c r="I365" s="113"/>
      <c r="J365" s="113"/>
      <c r="K365" s="113">
        <v>1470.9190000000001</v>
      </c>
      <c r="L365" s="113">
        <v>1133.962</v>
      </c>
      <c r="M365" s="113"/>
      <c r="N365" s="113"/>
      <c r="O365" s="113">
        <v>1133.962</v>
      </c>
      <c r="P365" s="113">
        <v>1230</v>
      </c>
      <c r="Q365" s="113"/>
      <c r="R365" s="113"/>
      <c r="S365" s="113">
        <v>1230</v>
      </c>
      <c r="T365" s="113">
        <v>530</v>
      </c>
      <c r="U365" s="113"/>
      <c r="V365" s="113"/>
      <c r="W365" s="113"/>
      <c r="X365" s="113">
        <v>530</v>
      </c>
      <c r="Y365" s="113">
        <v>433.96199999999999</v>
      </c>
      <c r="Z365" s="113"/>
      <c r="AA365" s="113"/>
      <c r="AB365" s="113"/>
      <c r="AC365" s="113">
        <v>433.96199999999999</v>
      </c>
      <c r="AD365" s="348">
        <f t="shared" si="17"/>
        <v>0.81879622641509431</v>
      </c>
      <c r="AE365" s="348"/>
      <c r="AF365" s="348"/>
      <c r="AG365" s="348"/>
      <c r="AH365" s="348">
        <f>AC365/X365</f>
        <v>0.81879622641509431</v>
      </c>
    </row>
    <row r="366" spans="1:34" s="346" customFormat="1">
      <c r="A366" s="334">
        <v>58</v>
      </c>
      <c r="B366" s="335" t="s">
        <v>183</v>
      </c>
      <c r="C366" s="334"/>
      <c r="D366" s="334"/>
      <c r="E366" s="357"/>
      <c r="F366" s="357"/>
      <c r="G366" s="345"/>
      <c r="H366" s="345"/>
      <c r="I366" s="345"/>
      <c r="J366" s="345"/>
      <c r="K366" s="345"/>
      <c r="L366" s="345"/>
      <c r="M366" s="345"/>
      <c r="N366" s="345"/>
      <c r="O366" s="345"/>
      <c r="P366" s="345"/>
      <c r="Q366" s="345"/>
      <c r="R366" s="345"/>
      <c r="S366" s="345"/>
      <c r="T366" s="345"/>
      <c r="U366" s="345"/>
      <c r="V366" s="345"/>
      <c r="W366" s="345"/>
      <c r="X366" s="345"/>
      <c r="Y366" s="345"/>
      <c r="Z366" s="345"/>
      <c r="AA366" s="345"/>
      <c r="AB366" s="345"/>
      <c r="AC366" s="345"/>
      <c r="AD366" s="348"/>
      <c r="AE366" s="348"/>
      <c r="AF366" s="348"/>
      <c r="AG366" s="348"/>
      <c r="AH366" s="348"/>
    </row>
    <row r="367" spans="1:34" ht="31.5">
      <c r="A367" s="347" t="s">
        <v>23</v>
      </c>
      <c r="B367" s="337" t="s">
        <v>833</v>
      </c>
      <c r="C367" s="347" t="s">
        <v>213</v>
      </c>
      <c r="D367" s="347"/>
      <c r="E367" s="369" t="s">
        <v>218</v>
      </c>
      <c r="F367" s="369" t="s">
        <v>834</v>
      </c>
      <c r="G367" s="113">
        <v>29813</v>
      </c>
      <c r="H367" s="113"/>
      <c r="I367" s="113">
        <v>29813</v>
      </c>
      <c r="J367" s="113"/>
      <c r="K367" s="113"/>
      <c r="L367" s="113">
        <v>22947</v>
      </c>
      <c r="M367" s="113"/>
      <c r="N367" s="113">
        <v>22947</v>
      </c>
      <c r="O367" s="113"/>
      <c r="P367" s="113">
        <v>24180</v>
      </c>
      <c r="Q367" s="113"/>
      <c r="R367" s="113"/>
      <c r="S367" s="113">
        <v>24180</v>
      </c>
      <c r="T367" s="113">
        <v>16283</v>
      </c>
      <c r="U367" s="113"/>
      <c r="V367" s="113"/>
      <c r="W367" s="113"/>
      <c r="X367" s="113">
        <v>16283</v>
      </c>
      <c r="Y367" s="113">
        <v>8630.107</v>
      </c>
      <c r="Z367" s="113"/>
      <c r="AA367" s="113"/>
      <c r="AB367" s="113"/>
      <c r="AC367" s="113">
        <v>8630.107</v>
      </c>
      <c r="AD367" s="348">
        <f t="shared" si="17"/>
        <v>0.53000718540809433</v>
      </c>
      <c r="AE367" s="348"/>
      <c r="AF367" s="348"/>
      <c r="AG367" s="348"/>
      <c r="AH367" s="348">
        <f>AC367/X367</f>
        <v>0.53000718540809433</v>
      </c>
    </row>
    <row r="368" spans="1:34" ht="31.5">
      <c r="A368" s="347" t="s">
        <v>23</v>
      </c>
      <c r="B368" s="337" t="s">
        <v>835</v>
      </c>
      <c r="C368" s="347"/>
      <c r="D368" s="347"/>
      <c r="E368" s="373" t="s">
        <v>836</v>
      </c>
      <c r="F368" s="369" t="s">
        <v>837</v>
      </c>
      <c r="G368" s="113">
        <v>896.84699999999998</v>
      </c>
      <c r="H368" s="113"/>
      <c r="I368" s="113"/>
      <c r="J368" s="113"/>
      <c r="K368" s="113">
        <f>G368</f>
        <v>896.84699999999998</v>
      </c>
      <c r="L368" s="113">
        <v>995</v>
      </c>
      <c r="M368" s="113"/>
      <c r="N368" s="113"/>
      <c r="O368" s="113">
        <v>995</v>
      </c>
      <c r="P368" s="113">
        <v>995</v>
      </c>
      <c r="Q368" s="113"/>
      <c r="R368" s="113"/>
      <c r="S368" s="113">
        <v>995</v>
      </c>
      <c r="T368" s="113">
        <v>995</v>
      </c>
      <c r="U368" s="113"/>
      <c r="V368" s="113"/>
      <c r="W368" s="113"/>
      <c r="X368" s="113">
        <v>995</v>
      </c>
      <c r="Y368" s="113">
        <v>500.73500000000001</v>
      </c>
      <c r="Z368" s="113"/>
      <c r="AA368" s="113"/>
      <c r="AB368" s="113"/>
      <c r="AC368" s="113">
        <v>500.73500000000001</v>
      </c>
      <c r="AD368" s="348">
        <f t="shared" si="17"/>
        <v>0.5032512562814071</v>
      </c>
      <c r="AE368" s="348"/>
      <c r="AF368" s="348"/>
      <c r="AG368" s="348"/>
      <c r="AH368" s="348">
        <f>AC368/X368</f>
        <v>0.5032512562814071</v>
      </c>
    </row>
    <row r="369" spans="1:34" s="346" customFormat="1">
      <c r="A369" s="334">
        <v>59</v>
      </c>
      <c r="B369" s="335" t="s">
        <v>184</v>
      </c>
      <c r="C369" s="334"/>
      <c r="D369" s="334"/>
      <c r="E369" s="357"/>
      <c r="F369" s="357"/>
      <c r="G369" s="345"/>
      <c r="H369" s="345"/>
      <c r="I369" s="345"/>
      <c r="J369" s="345"/>
      <c r="K369" s="345"/>
      <c r="L369" s="345"/>
      <c r="M369" s="345"/>
      <c r="N369" s="345"/>
      <c r="O369" s="345"/>
      <c r="P369" s="345"/>
      <c r="Q369" s="345"/>
      <c r="R369" s="345"/>
      <c r="S369" s="345"/>
      <c r="T369" s="345"/>
      <c r="U369" s="345"/>
      <c r="V369" s="345"/>
      <c r="W369" s="345"/>
      <c r="X369" s="345"/>
      <c r="Y369" s="345"/>
      <c r="Z369" s="345"/>
      <c r="AA369" s="345"/>
      <c r="AB369" s="345"/>
      <c r="AC369" s="345"/>
      <c r="AD369" s="348"/>
      <c r="AE369" s="348"/>
      <c r="AF369" s="348"/>
      <c r="AG369" s="348"/>
      <c r="AH369" s="348"/>
    </row>
    <row r="370" spans="1:34" ht="63">
      <c r="A370" s="347" t="s">
        <v>23</v>
      </c>
      <c r="B370" s="337" t="s">
        <v>838</v>
      </c>
      <c r="C370" s="347" t="s">
        <v>600</v>
      </c>
      <c r="D370" s="347"/>
      <c r="E370" s="369" t="s">
        <v>839</v>
      </c>
      <c r="F370" s="369" t="s">
        <v>840</v>
      </c>
      <c r="G370" s="113">
        <v>2762</v>
      </c>
      <c r="H370" s="113"/>
      <c r="I370" s="113"/>
      <c r="J370" s="113"/>
      <c r="K370" s="113">
        <v>2762</v>
      </c>
      <c r="L370" s="113">
        <v>2461</v>
      </c>
      <c r="M370" s="113"/>
      <c r="N370" s="113"/>
      <c r="O370" s="113">
        <v>2461</v>
      </c>
      <c r="P370" s="113">
        <v>2488</v>
      </c>
      <c r="Q370" s="113"/>
      <c r="R370" s="113"/>
      <c r="S370" s="113">
        <v>2488</v>
      </c>
      <c r="T370" s="113">
        <v>158</v>
      </c>
      <c r="U370" s="113"/>
      <c r="V370" s="113"/>
      <c r="W370" s="113"/>
      <c r="X370" s="113">
        <v>158</v>
      </c>
      <c r="Y370" s="113">
        <v>130.70599999999999</v>
      </c>
      <c r="Z370" s="113"/>
      <c r="AA370" s="113"/>
      <c r="AB370" s="113"/>
      <c r="AC370" s="113">
        <v>130.70599999999999</v>
      </c>
      <c r="AD370" s="348">
        <f t="shared" si="17"/>
        <v>0.82725316455696196</v>
      </c>
      <c r="AE370" s="348"/>
      <c r="AF370" s="348"/>
      <c r="AG370" s="348"/>
      <c r="AH370" s="348">
        <f t="shared" ref="AH370:AH376" si="21">AC370/X370</f>
        <v>0.82725316455696196</v>
      </c>
    </row>
    <row r="371" spans="1:34" ht="63">
      <c r="A371" s="347" t="s">
        <v>23</v>
      </c>
      <c r="B371" s="337" t="s">
        <v>841</v>
      </c>
      <c r="C371" s="347" t="s">
        <v>396</v>
      </c>
      <c r="D371" s="347"/>
      <c r="E371" s="369" t="s">
        <v>266</v>
      </c>
      <c r="F371" s="369" t="s">
        <v>842</v>
      </c>
      <c r="G371" s="113">
        <v>2873</v>
      </c>
      <c r="H371" s="113"/>
      <c r="I371" s="113"/>
      <c r="J371" s="113"/>
      <c r="K371" s="113">
        <v>2873</v>
      </c>
      <c r="L371" s="113">
        <v>2617</v>
      </c>
      <c r="M371" s="113"/>
      <c r="N371" s="113"/>
      <c r="O371" s="113">
        <v>2617</v>
      </c>
      <c r="P371" s="113">
        <v>2861</v>
      </c>
      <c r="Q371" s="113"/>
      <c r="R371" s="113"/>
      <c r="S371" s="113">
        <v>2861</v>
      </c>
      <c r="T371" s="113">
        <v>1214</v>
      </c>
      <c r="U371" s="113"/>
      <c r="V371" s="113"/>
      <c r="W371" s="113"/>
      <c r="X371" s="113">
        <v>1214</v>
      </c>
      <c r="Y371" s="113">
        <v>757.53099999999995</v>
      </c>
      <c r="Z371" s="113"/>
      <c r="AA371" s="113"/>
      <c r="AB371" s="113"/>
      <c r="AC371" s="113">
        <v>757.53099999999995</v>
      </c>
      <c r="AD371" s="348">
        <f t="shared" si="17"/>
        <v>0.62399588138385498</v>
      </c>
      <c r="AE371" s="348"/>
      <c r="AF371" s="348"/>
      <c r="AG371" s="348"/>
      <c r="AH371" s="348">
        <f t="shared" si="21"/>
        <v>0.62399588138385498</v>
      </c>
    </row>
    <row r="372" spans="1:34" ht="45">
      <c r="A372" s="347" t="s">
        <v>23</v>
      </c>
      <c r="B372" s="337" t="s">
        <v>843</v>
      </c>
      <c r="C372" s="347" t="s">
        <v>213</v>
      </c>
      <c r="D372" s="347"/>
      <c r="E372" s="369" t="s">
        <v>218</v>
      </c>
      <c r="F372" s="369" t="s">
        <v>844</v>
      </c>
      <c r="G372" s="113">
        <v>10138</v>
      </c>
      <c r="H372" s="113">
        <v>3402</v>
      </c>
      <c r="I372" s="113"/>
      <c r="J372" s="113"/>
      <c r="K372" s="113">
        <v>6736</v>
      </c>
      <c r="L372" s="113">
        <v>6150</v>
      </c>
      <c r="M372" s="113"/>
      <c r="N372" s="113"/>
      <c r="O372" s="113">
        <v>6150</v>
      </c>
      <c r="P372" s="113">
        <v>4250</v>
      </c>
      <c r="Q372" s="113"/>
      <c r="R372" s="113"/>
      <c r="S372" s="113">
        <v>4250</v>
      </c>
      <c r="T372" s="113">
        <v>3979.6</v>
      </c>
      <c r="U372" s="113"/>
      <c r="V372" s="113"/>
      <c r="W372" s="113"/>
      <c r="X372" s="113">
        <v>3979.6</v>
      </c>
      <c r="Y372" s="113">
        <v>3815.7559999999999</v>
      </c>
      <c r="Z372" s="113"/>
      <c r="AA372" s="113"/>
      <c r="AB372" s="113"/>
      <c r="AC372" s="113">
        <v>3815.7559999999999</v>
      </c>
      <c r="AD372" s="348">
        <f t="shared" si="17"/>
        <v>0.95882902804301939</v>
      </c>
      <c r="AE372" s="348"/>
      <c r="AF372" s="348"/>
      <c r="AG372" s="348"/>
      <c r="AH372" s="348">
        <f t="shared" si="21"/>
        <v>0.95882902804301939</v>
      </c>
    </row>
    <row r="373" spans="1:34" ht="47.25">
      <c r="A373" s="347" t="s">
        <v>23</v>
      </c>
      <c r="B373" s="337" t="s">
        <v>845</v>
      </c>
      <c r="C373" s="347" t="s">
        <v>287</v>
      </c>
      <c r="D373" s="347"/>
      <c r="E373" s="369" t="s">
        <v>281</v>
      </c>
      <c r="F373" s="369" t="s">
        <v>846</v>
      </c>
      <c r="G373" s="113">
        <v>2927</v>
      </c>
      <c r="H373" s="113"/>
      <c r="I373" s="113"/>
      <c r="J373" s="113"/>
      <c r="K373" s="113">
        <v>2927</v>
      </c>
      <c r="L373" s="113">
        <v>2721</v>
      </c>
      <c r="M373" s="113"/>
      <c r="N373" s="113"/>
      <c r="O373" s="113">
        <v>2721</v>
      </c>
      <c r="P373" s="113">
        <v>2000</v>
      </c>
      <c r="Q373" s="113"/>
      <c r="R373" s="113"/>
      <c r="S373" s="113">
        <v>2000</v>
      </c>
      <c r="T373" s="113">
        <v>1100</v>
      </c>
      <c r="U373" s="113"/>
      <c r="V373" s="113"/>
      <c r="W373" s="113"/>
      <c r="X373" s="113">
        <v>1100</v>
      </c>
      <c r="Y373" s="113">
        <v>1100</v>
      </c>
      <c r="Z373" s="113"/>
      <c r="AA373" s="113"/>
      <c r="AB373" s="113"/>
      <c r="AC373" s="113">
        <v>1100</v>
      </c>
      <c r="AD373" s="348">
        <f t="shared" si="17"/>
        <v>1</v>
      </c>
      <c r="AE373" s="348"/>
      <c r="AF373" s="348"/>
      <c r="AG373" s="348"/>
      <c r="AH373" s="348">
        <f t="shared" si="21"/>
        <v>1</v>
      </c>
    </row>
    <row r="374" spans="1:34" ht="63">
      <c r="A374" s="347" t="s">
        <v>23</v>
      </c>
      <c r="B374" s="337" t="s">
        <v>847</v>
      </c>
      <c r="C374" s="347" t="s">
        <v>213</v>
      </c>
      <c r="D374" s="347"/>
      <c r="E374" s="369" t="s">
        <v>214</v>
      </c>
      <c r="F374" s="369" t="s">
        <v>848</v>
      </c>
      <c r="G374" s="113">
        <v>4008</v>
      </c>
      <c r="H374" s="113"/>
      <c r="I374" s="113"/>
      <c r="J374" s="113"/>
      <c r="K374" s="113">
        <v>4008</v>
      </c>
      <c r="L374" s="113">
        <v>1800</v>
      </c>
      <c r="M374" s="113"/>
      <c r="N374" s="113"/>
      <c r="O374" s="113">
        <v>1800</v>
      </c>
      <c r="P374" s="113">
        <v>2000</v>
      </c>
      <c r="Q374" s="113"/>
      <c r="R374" s="113"/>
      <c r="S374" s="113">
        <v>2000</v>
      </c>
      <c r="T374" s="113">
        <v>2000</v>
      </c>
      <c r="U374" s="113"/>
      <c r="V374" s="113"/>
      <c r="W374" s="113"/>
      <c r="X374" s="113">
        <v>2000</v>
      </c>
      <c r="Y374" s="113">
        <v>1523.982</v>
      </c>
      <c r="Z374" s="113"/>
      <c r="AA374" s="113"/>
      <c r="AB374" s="113"/>
      <c r="AC374" s="113">
        <v>1523.982</v>
      </c>
      <c r="AD374" s="348">
        <f t="shared" si="17"/>
        <v>0.76199099999999997</v>
      </c>
      <c r="AE374" s="348"/>
      <c r="AF374" s="348"/>
      <c r="AG374" s="348"/>
      <c r="AH374" s="348">
        <f t="shared" si="21"/>
        <v>0.76199099999999997</v>
      </c>
    </row>
    <row r="375" spans="1:34" ht="31.5">
      <c r="A375" s="347" t="s">
        <v>23</v>
      </c>
      <c r="B375" s="337" t="s">
        <v>849</v>
      </c>
      <c r="C375" s="347" t="s">
        <v>287</v>
      </c>
      <c r="D375" s="347"/>
      <c r="E375" s="369" t="s">
        <v>214</v>
      </c>
      <c r="F375" s="369" t="s">
        <v>850</v>
      </c>
      <c r="G375" s="113">
        <v>1000</v>
      </c>
      <c r="H375" s="113"/>
      <c r="I375" s="113"/>
      <c r="J375" s="113"/>
      <c r="K375" s="113">
        <v>1000</v>
      </c>
      <c r="L375" s="113">
        <v>900</v>
      </c>
      <c r="M375" s="113"/>
      <c r="N375" s="113"/>
      <c r="O375" s="113">
        <v>900</v>
      </c>
      <c r="P375" s="113">
        <v>1000</v>
      </c>
      <c r="Q375" s="113"/>
      <c r="R375" s="113"/>
      <c r="S375" s="113">
        <v>1000</v>
      </c>
      <c r="T375" s="113">
        <v>1000</v>
      </c>
      <c r="U375" s="113"/>
      <c r="V375" s="113"/>
      <c r="W375" s="113"/>
      <c r="X375" s="113">
        <v>1000</v>
      </c>
      <c r="Y375" s="113">
        <v>48.192</v>
      </c>
      <c r="Z375" s="113"/>
      <c r="AA375" s="113"/>
      <c r="AB375" s="113"/>
      <c r="AC375" s="113">
        <v>48.192</v>
      </c>
      <c r="AD375" s="348">
        <f t="shared" si="17"/>
        <v>4.8191999999999999E-2</v>
      </c>
      <c r="AE375" s="348"/>
      <c r="AF375" s="348"/>
      <c r="AG375" s="348"/>
      <c r="AH375" s="348">
        <f t="shared" si="21"/>
        <v>4.8191999999999999E-2</v>
      </c>
    </row>
    <row r="376" spans="1:34" ht="47.25">
      <c r="A376" s="347" t="s">
        <v>23</v>
      </c>
      <c r="B376" s="337" t="s">
        <v>851</v>
      </c>
      <c r="C376" s="347"/>
      <c r="D376" s="347"/>
      <c r="E376" s="369"/>
      <c r="F376" s="369"/>
      <c r="G376" s="113"/>
      <c r="H376" s="113"/>
      <c r="I376" s="113"/>
      <c r="J376" s="113"/>
      <c r="K376" s="113"/>
      <c r="L376" s="113"/>
      <c r="M376" s="113"/>
      <c r="N376" s="113"/>
      <c r="O376" s="113"/>
      <c r="P376" s="113"/>
      <c r="Q376" s="113"/>
      <c r="R376" s="113"/>
      <c r="S376" s="113"/>
      <c r="T376" s="113">
        <v>300</v>
      </c>
      <c r="U376" s="113"/>
      <c r="V376" s="113"/>
      <c r="W376" s="113"/>
      <c r="X376" s="113">
        <v>300</v>
      </c>
      <c r="Y376" s="113">
        <v>0</v>
      </c>
      <c r="Z376" s="113"/>
      <c r="AA376" s="113"/>
      <c r="AB376" s="113"/>
      <c r="AC376" s="113"/>
      <c r="AD376" s="348">
        <f t="shared" si="17"/>
        <v>0</v>
      </c>
      <c r="AE376" s="348"/>
      <c r="AF376" s="348"/>
      <c r="AG376" s="348"/>
      <c r="AH376" s="348">
        <f t="shared" si="21"/>
        <v>0</v>
      </c>
    </row>
    <row r="377" spans="1:34" s="346" customFormat="1">
      <c r="A377" s="334">
        <v>60</v>
      </c>
      <c r="B377" s="335" t="s">
        <v>185</v>
      </c>
      <c r="C377" s="334"/>
      <c r="D377" s="334"/>
      <c r="E377" s="357"/>
      <c r="F377" s="357"/>
      <c r="G377" s="345"/>
      <c r="H377" s="345"/>
      <c r="I377" s="345"/>
      <c r="J377" s="345"/>
      <c r="K377" s="345"/>
      <c r="L377" s="345"/>
      <c r="M377" s="345"/>
      <c r="N377" s="345"/>
      <c r="O377" s="345"/>
      <c r="P377" s="345"/>
      <c r="Q377" s="345"/>
      <c r="R377" s="345"/>
      <c r="S377" s="345"/>
      <c r="T377" s="345"/>
      <c r="U377" s="345"/>
      <c r="V377" s="345"/>
      <c r="W377" s="345"/>
      <c r="X377" s="345"/>
      <c r="Y377" s="345"/>
      <c r="Z377" s="345"/>
      <c r="AA377" s="345"/>
      <c r="AB377" s="345"/>
      <c r="AC377" s="345"/>
      <c r="AD377" s="348"/>
      <c r="AE377" s="348"/>
      <c r="AF377" s="348"/>
      <c r="AG377" s="348"/>
      <c r="AH377" s="348"/>
    </row>
    <row r="378" spans="1:34" ht="63">
      <c r="A378" s="347" t="s">
        <v>23</v>
      </c>
      <c r="B378" s="337" t="s">
        <v>852</v>
      </c>
      <c r="C378" s="347" t="s">
        <v>396</v>
      </c>
      <c r="D378" s="347"/>
      <c r="E378" s="369" t="s">
        <v>266</v>
      </c>
      <c r="F378" s="369" t="s">
        <v>853</v>
      </c>
      <c r="G378" s="113">
        <f>4089.25+4261.241</f>
        <v>8350.491</v>
      </c>
      <c r="H378" s="113"/>
      <c r="I378" s="113">
        <f>2862.475+1979</f>
        <v>4841.4750000000004</v>
      </c>
      <c r="J378" s="113"/>
      <c r="K378" s="113">
        <f>G378-I378</f>
        <v>3509.0159999999996</v>
      </c>
      <c r="L378" s="113">
        <f>3402.86+3977.159</f>
        <v>7380.0190000000002</v>
      </c>
      <c r="M378" s="113"/>
      <c r="N378" s="113">
        <v>4841.4750000000004</v>
      </c>
      <c r="O378" s="113">
        <f>L378-N378</f>
        <v>2538.5439999999999</v>
      </c>
      <c r="P378" s="113">
        <f>3402.86+2979</f>
        <v>6381.8600000000006</v>
      </c>
      <c r="Q378" s="113"/>
      <c r="R378" s="113">
        <f>3402.86+1979</f>
        <v>5381.8600000000006</v>
      </c>
      <c r="S378" s="113">
        <f>P378-R378</f>
        <v>1000</v>
      </c>
      <c r="T378" s="113">
        <v>4000</v>
      </c>
      <c r="U378" s="113"/>
      <c r="V378" s="113"/>
      <c r="W378" s="113"/>
      <c r="X378" s="113">
        <v>4000</v>
      </c>
      <c r="Y378" s="113">
        <v>3999.86</v>
      </c>
      <c r="Z378" s="113"/>
      <c r="AA378" s="113"/>
      <c r="AB378" s="113"/>
      <c r="AC378" s="113">
        <v>3999.86</v>
      </c>
      <c r="AD378" s="348">
        <f t="shared" si="17"/>
        <v>0.99996499999999999</v>
      </c>
      <c r="AE378" s="348"/>
      <c r="AF378" s="348"/>
      <c r="AG378" s="348"/>
      <c r="AH378" s="348">
        <f>AC378/X378</f>
        <v>0.99996499999999999</v>
      </c>
    </row>
    <row r="379" spans="1:34" ht="47.25">
      <c r="A379" s="347" t="s">
        <v>23</v>
      </c>
      <c r="B379" s="337" t="s">
        <v>854</v>
      </c>
      <c r="C379" s="347" t="s">
        <v>396</v>
      </c>
      <c r="D379" s="347"/>
      <c r="E379" s="369" t="s">
        <v>236</v>
      </c>
      <c r="F379" s="369" t="s">
        <v>855</v>
      </c>
      <c r="G379" s="113">
        <v>4992.2169999999996</v>
      </c>
      <c r="H379" s="113"/>
      <c r="I379" s="113"/>
      <c r="J379" s="113"/>
      <c r="K379" s="113">
        <v>4992.2169999999996</v>
      </c>
      <c r="L379" s="113">
        <v>4499.8469999999998</v>
      </c>
      <c r="M379" s="113"/>
      <c r="N379" s="113"/>
      <c r="O379" s="113">
        <v>4499.8469999999998</v>
      </c>
      <c r="P379" s="113">
        <v>4000</v>
      </c>
      <c r="Q379" s="113"/>
      <c r="R379" s="113"/>
      <c r="S379" s="113">
        <v>4000</v>
      </c>
      <c r="T379" s="113">
        <v>2000</v>
      </c>
      <c r="U379" s="113"/>
      <c r="V379" s="113"/>
      <c r="W379" s="113"/>
      <c r="X379" s="113">
        <v>2000</v>
      </c>
      <c r="Y379" s="113">
        <v>2000</v>
      </c>
      <c r="Z379" s="113"/>
      <c r="AA379" s="113"/>
      <c r="AB379" s="113"/>
      <c r="AC379" s="113">
        <v>2000</v>
      </c>
      <c r="AD379" s="348">
        <f t="shared" si="17"/>
        <v>1</v>
      </c>
      <c r="AE379" s="348"/>
      <c r="AF379" s="348"/>
      <c r="AG379" s="348"/>
      <c r="AH379" s="348">
        <f>AC379/X379</f>
        <v>1</v>
      </c>
    </row>
    <row r="380" spans="1:34" ht="47.25">
      <c r="A380" s="347" t="s">
        <v>23</v>
      </c>
      <c r="B380" s="337" t="s">
        <v>856</v>
      </c>
      <c r="C380" s="347" t="s">
        <v>396</v>
      </c>
      <c r="D380" s="347"/>
      <c r="E380" s="369" t="s">
        <v>236</v>
      </c>
      <c r="F380" s="369" t="s">
        <v>857</v>
      </c>
      <c r="G380" s="113">
        <v>661.93299999999999</v>
      </c>
      <c r="H380" s="113"/>
      <c r="I380" s="113"/>
      <c r="J380" s="113"/>
      <c r="K380" s="113">
        <v>661.93299999999999</v>
      </c>
      <c r="L380" s="113">
        <v>661.93299999999999</v>
      </c>
      <c r="M380" s="113"/>
      <c r="N380" s="113"/>
      <c r="O380" s="113">
        <v>661.93299999999999</v>
      </c>
      <c r="P380" s="113">
        <v>661.93299999999999</v>
      </c>
      <c r="Q380" s="113"/>
      <c r="R380" s="113"/>
      <c r="S380" s="113">
        <v>661.93299999999999</v>
      </c>
      <c r="T380" s="113">
        <v>111.139</v>
      </c>
      <c r="U380" s="113"/>
      <c r="V380" s="113"/>
      <c r="W380" s="113"/>
      <c r="X380" s="113">
        <v>111.139</v>
      </c>
      <c r="Y380" s="113">
        <v>111.139</v>
      </c>
      <c r="Z380" s="113"/>
      <c r="AA380" s="113"/>
      <c r="AB380" s="113"/>
      <c r="AC380" s="113">
        <v>111.139</v>
      </c>
      <c r="AD380" s="348">
        <f t="shared" si="17"/>
        <v>1</v>
      </c>
      <c r="AE380" s="348"/>
      <c r="AF380" s="348"/>
      <c r="AG380" s="348"/>
      <c r="AH380" s="348">
        <f>AC380/X380</f>
        <v>1</v>
      </c>
    </row>
    <row r="381" spans="1:34" ht="31.5">
      <c r="A381" s="347" t="s">
        <v>23</v>
      </c>
      <c r="B381" s="337" t="s">
        <v>858</v>
      </c>
      <c r="C381" s="347" t="s">
        <v>396</v>
      </c>
      <c r="D381" s="347"/>
      <c r="E381" s="369" t="s">
        <v>276</v>
      </c>
      <c r="F381" s="369" t="s">
        <v>859</v>
      </c>
      <c r="G381" s="113">
        <v>45140</v>
      </c>
      <c r="H381" s="113">
        <v>24000</v>
      </c>
      <c r="I381" s="113"/>
      <c r="J381" s="113"/>
      <c r="K381" s="113">
        <f>G381-H381</f>
        <v>21140</v>
      </c>
      <c r="L381" s="113">
        <v>11549.921</v>
      </c>
      <c r="M381" s="113"/>
      <c r="N381" s="113"/>
      <c r="O381" s="113">
        <v>11549.921</v>
      </c>
      <c r="P381" s="113">
        <v>11000</v>
      </c>
      <c r="Q381" s="113"/>
      <c r="R381" s="113"/>
      <c r="S381" s="113">
        <v>11000</v>
      </c>
      <c r="T381" s="113">
        <v>8000</v>
      </c>
      <c r="U381" s="113"/>
      <c r="V381" s="113"/>
      <c r="W381" s="113"/>
      <c r="X381" s="113">
        <v>8000</v>
      </c>
      <c r="Y381" s="113">
        <v>8000</v>
      </c>
      <c r="Z381" s="113"/>
      <c r="AA381" s="113"/>
      <c r="AB381" s="113"/>
      <c r="AC381" s="113">
        <v>8000</v>
      </c>
      <c r="AD381" s="348">
        <f t="shared" si="17"/>
        <v>1</v>
      </c>
      <c r="AE381" s="348"/>
      <c r="AF381" s="348"/>
      <c r="AG381" s="348"/>
      <c r="AH381" s="348">
        <f>AC381/X381</f>
        <v>1</v>
      </c>
    </row>
    <row r="382" spans="1:34" s="346" customFormat="1">
      <c r="A382" s="334">
        <v>61</v>
      </c>
      <c r="B382" s="335" t="s">
        <v>186</v>
      </c>
      <c r="C382" s="334"/>
      <c r="D382" s="334"/>
      <c r="E382" s="369"/>
      <c r="F382" s="369"/>
      <c r="G382" s="345"/>
      <c r="H382" s="345"/>
      <c r="I382" s="345"/>
      <c r="J382" s="345"/>
      <c r="K382" s="345"/>
      <c r="L382" s="345"/>
      <c r="M382" s="345"/>
      <c r="N382" s="345"/>
      <c r="O382" s="345"/>
      <c r="P382" s="345"/>
      <c r="Q382" s="345"/>
      <c r="R382" s="345"/>
      <c r="S382" s="345"/>
      <c r="T382" s="345"/>
      <c r="U382" s="345"/>
      <c r="V382" s="345"/>
      <c r="W382" s="345"/>
      <c r="X382" s="345"/>
      <c r="Y382" s="345"/>
      <c r="Z382" s="345"/>
      <c r="AA382" s="345"/>
      <c r="AB382" s="345"/>
      <c r="AC382" s="345"/>
      <c r="AD382" s="348"/>
      <c r="AE382" s="348"/>
      <c r="AF382" s="348"/>
      <c r="AG382" s="348"/>
      <c r="AH382" s="348"/>
    </row>
    <row r="383" spans="1:34" ht="31.5">
      <c r="A383" s="347" t="s">
        <v>23</v>
      </c>
      <c r="B383" s="337" t="s">
        <v>860</v>
      </c>
      <c r="C383" s="347" t="s">
        <v>213</v>
      </c>
      <c r="D383" s="347"/>
      <c r="E383" s="369" t="s">
        <v>861</v>
      </c>
      <c r="F383" s="369" t="s">
        <v>862</v>
      </c>
      <c r="G383" s="113">
        <v>7484</v>
      </c>
      <c r="H383" s="113"/>
      <c r="I383" s="113"/>
      <c r="J383" s="113"/>
      <c r="K383" s="113">
        <v>7484</v>
      </c>
      <c r="L383" s="113">
        <v>7462</v>
      </c>
      <c r="M383" s="113"/>
      <c r="N383" s="113"/>
      <c r="O383" s="113">
        <v>7462</v>
      </c>
      <c r="P383" s="113">
        <v>7462</v>
      </c>
      <c r="Q383" s="113"/>
      <c r="R383" s="113"/>
      <c r="S383" s="113">
        <v>7462</v>
      </c>
      <c r="T383" s="113">
        <f>87.917127+9.302031</f>
        <v>97.219157999999993</v>
      </c>
      <c r="U383" s="113"/>
      <c r="V383" s="113"/>
      <c r="W383" s="113"/>
      <c r="X383" s="113">
        <f>87.917127+9.302031</f>
        <v>97.219157999999993</v>
      </c>
      <c r="Y383" s="113">
        <v>87.917126999999994</v>
      </c>
      <c r="Z383" s="113"/>
      <c r="AA383" s="113"/>
      <c r="AB383" s="113"/>
      <c r="AC383" s="113">
        <v>87.917126999999994</v>
      </c>
      <c r="AD383" s="348">
        <f t="shared" si="17"/>
        <v>0.90431895120918449</v>
      </c>
      <c r="AE383" s="348"/>
      <c r="AF383" s="348"/>
      <c r="AG383" s="348"/>
      <c r="AH383" s="348">
        <f t="shared" ref="AH383:AH402" si="22">AC383/X383</f>
        <v>0.90431895120918449</v>
      </c>
    </row>
    <row r="384" spans="1:34" ht="47.25">
      <c r="A384" s="347" t="s">
        <v>23</v>
      </c>
      <c r="B384" s="337" t="s">
        <v>863</v>
      </c>
      <c r="C384" s="347" t="s">
        <v>303</v>
      </c>
      <c r="D384" s="347"/>
      <c r="E384" s="369" t="s">
        <v>864</v>
      </c>
      <c r="F384" s="369" t="s">
        <v>865</v>
      </c>
      <c r="G384" s="113">
        <v>17343</v>
      </c>
      <c r="H384" s="113"/>
      <c r="I384" s="113">
        <v>10149</v>
      </c>
      <c r="J384" s="113"/>
      <c r="K384" s="113">
        <v>7194</v>
      </c>
      <c r="L384" s="113">
        <v>15002</v>
      </c>
      <c r="M384" s="113"/>
      <c r="N384" s="113">
        <v>10757</v>
      </c>
      <c r="O384" s="113">
        <v>4245</v>
      </c>
      <c r="P384" s="113">
        <v>15002</v>
      </c>
      <c r="Q384" s="113"/>
      <c r="R384" s="113">
        <v>10757</v>
      </c>
      <c r="S384" s="113">
        <v>4245</v>
      </c>
      <c r="T384" s="113">
        <v>1645.3385049999999</v>
      </c>
      <c r="U384" s="113"/>
      <c r="V384" s="113"/>
      <c r="W384" s="113"/>
      <c r="X384" s="113">
        <v>1645.3385049999999</v>
      </c>
      <c r="Y384" s="113">
        <v>1645.3385049999999</v>
      </c>
      <c r="Z384" s="113"/>
      <c r="AA384" s="113"/>
      <c r="AB384" s="113"/>
      <c r="AC384" s="113">
        <v>1645.3385049999999</v>
      </c>
      <c r="AD384" s="348">
        <f t="shared" si="17"/>
        <v>1</v>
      </c>
      <c r="AE384" s="348"/>
      <c r="AF384" s="348"/>
      <c r="AG384" s="348"/>
      <c r="AH384" s="348">
        <f t="shared" si="22"/>
        <v>1</v>
      </c>
    </row>
    <row r="385" spans="1:34" ht="31.5">
      <c r="A385" s="347" t="s">
        <v>23</v>
      </c>
      <c r="B385" s="337" t="s">
        <v>866</v>
      </c>
      <c r="C385" s="347" t="s">
        <v>213</v>
      </c>
      <c r="D385" s="347"/>
      <c r="E385" s="369"/>
      <c r="F385" s="369" t="s">
        <v>867</v>
      </c>
      <c r="G385" s="113">
        <v>65215</v>
      </c>
      <c r="H385" s="113"/>
      <c r="I385" s="113"/>
      <c r="J385" s="113"/>
      <c r="K385" s="113">
        <v>65215</v>
      </c>
      <c r="L385" s="113">
        <v>384</v>
      </c>
      <c r="M385" s="113"/>
      <c r="N385" s="113"/>
      <c r="O385" s="113">
        <v>384</v>
      </c>
      <c r="P385" s="113">
        <v>325</v>
      </c>
      <c r="Q385" s="113"/>
      <c r="R385" s="113"/>
      <c r="S385" s="113">
        <v>325</v>
      </c>
      <c r="T385" s="113">
        <v>189</v>
      </c>
      <c r="U385" s="113"/>
      <c r="V385" s="113"/>
      <c r="W385" s="113"/>
      <c r="X385" s="113">
        <v>189</v>
      </c>
      <c r="Y385" s="113">
        <v>0</v>
      </c>
      <c r="Z385" s="113"/>
      <c r="AA385" s="113"/>
      <c r="AB385" s="113"/>
      <c r="AC385" s="113"/>
      <c r="AD385" s="348">
        <f t="shared" si="17"/>
        <v>0</v>
      </c>
      <c r="AE385" s="348"/>
      <c r="AF385" s="348"/>
      <c r="AG385" s="348"/>
      <c r="AH385" s="348">
        <f t="shared" si="22"/>
        <v>0</v>
      </c>
    </row>
    <row r="386" spans="1:34" ht="31.5">
      <c r="A386" s="347" t="s">
        <v>23</v>
      </c>
      <c r="B386" s="337" t="s">
        <v>868</v>
      </c>
      <c r="C386" s="347" t="s">
        <v>265</v>
      </c>
      <c r="D386" s="347"/>
      <c r="E386" s="369" t="s">
        <v>869</v>
      </c>
      <c r="F386" s="369" t="s">
        <v>870</v>
      </c>
      <c r="G386" s="113">
        <v>36171</v>
      </c>
      <c r="H386" s="113"/>
      <c r="I386" s="113">
        <v>24571</v>
      </c>
      <c r="J386" s="113"/>
      <c r="K386" s="113">
        <v>11600</v>
      </c>
      <c r="L386" s="113">
        <v>23275</v>
      </c>
      <c r="M386" s="113"/>
      <c r="N386" s="113">
        <v>23275</v>
      </c>
      <c r="O386" s="113"/>
      <c r="P386" s="113">
        <v>24572</v>
      </c>
      <c r="Q386" s="113"/>
      <c r="R386" s="113">
        <v>24572</v>
      </c>
      <c r="S386" s="113"/>
      <c r="T386" s="113">
        <v>60.000399999999999</v>
      </c>
      <c r="U386" s="113"/>
      <c r="V386" s="113"/>
      <c r="W386" s="113"/>
      <c r="X386" s="113">
        <v>60.000399999999999</v>
      </c>
      <c r="Y386" s="113">
        <v>0</v>
      </c>
      <c r="Z386" s="113"/>
      <c r="AA386" s="113"/>
      <c r="AB386" s="113"/>
      <c r="AC386" s="113"/>
      <c r="AD386" s="348">
        <f t="shared" si="17"/>
        <v>0</v>
      </c>
      <c r="AE386" s="348"/>
      <c r="AF386" s="348"/>
      <c r="AG386" s="348"/>
      <c r="AH386" s="348">
        <f t="shared" si="22"/>
        <v>0</v>
      </c>
    </row>
    <row r="387" spans="1:34" ht="31.5">
      <c r="A387" s="347" t="s">
        <v>23</v>
      </c>
      <c r="B387" s="337" t="s">
        <v>871</v>
      </c>
      <c r="C387" s="347" t="s">
        <v>287</v>
      </c>
      <c r="D387" s="347"/>
      <c r="E387" s="369" t="s">
        <v>366</v>
      </c>
      <c r="F387" s="369" t="s">
        <v>872</v>
      </c>
      <c r="G387" s="113">
        <v>9482</v>
      </c>
      <c r="H387" s="113"/>
      <c r="I387" s="113">
        <v>9482</v>
      </c>
      <c r="J387" s="113"/>
      <c r="K387" s="113"/>
      <c r="L387" s="113">
        <v>4925</v>
      </c>
      <c r="M387" s="113"/>
      <c r="N387" s="113">
        <v>4925</v>
      </c>
      <c r="O387" s="113"/>
      <c r="P387" s="113">
        <v>4425</v>
      </c>
      <c r="Q387" s="113"/>
      <c r="R387" s="113">
        <v>4425</v>
      </c>
      <c r="S387" s="113"/>
      <c r="T387" s="113">
        <v>18</v>
      </c>
      <c r="U387" s="113"/>
      <c r="V387" s="113"/>
      <c r="W387" s="113"/>
      <c r="X387" s="113">
        <v>18</v>
      </c>
      <c r="Y387" s="113">
        <v>0</v>
      </c>
      <c r="Z387" s="113"/>
      <c r="AA387" s="113"/>
      <c r="AB387" s="113"/>
      <c r="AC387" s="113"/>
      <c r="AD387" s="348">
        <f t="shared" si="17"/>
        <v>0</v>
      </c>
      <c r="AE387" s="348"/>
      <c r="AF387" s="348"/>
      <c r="AG387" s="348"/>
      <c r="AH387" s="348">
        <f t="shared" si="22"/>
        <v>0</v>
      </c>
    </row>
    <row r="388" spans="1:34" ht="31.5">
      <c r="A388" s="347" t="s">
        <v>23</v>
      </c>
      <c r="B388" s="337" t="s">
        <v>873</v>
      </c>
      <c r="C388" s="347" t="s">
        <v>261</v>
      </c>
      <c r="D388" s="347"/>
      <c r="E388" s="369" t="s">
        <v>874</v>
      </c>
      <c r="F388" s="369" t="s">
        <v>875</v>
      </c>
      <c r="G388" s="113">
        <v>2739</v>
      </c>
      <c r="H388" s="113"/>
      <c r="I388" s="113">
        <v>1819</v>
      </c>
      <c r="J388" s="113"/>
      <c r="K388" s="113">
        <v>920</v>
      </c>
      <c r="L388" s="113">
        <v>2738</v>
      </c>
      <c r="M388" s="113"/>
      <c r="N388" s="113">
        <v>1443</v>
      </c>
      <c r="O388" s="113">
        <f>L388-N388</f>
        <v>1295</v>
      </c>
      <c r="P388" s="113">
        <v>2732</v>
      </c>
      <c r="Q388" s="113"/>
      <c r="R388" s="113">
        <v>1443</v>
      </c>
      <c r="S388" s="113">
        <v>1289</v>
      </c>
      <c r="T388" s="113">
        <v>408.87790000000007</v>
      </c>
      <c r="U388" s="113"/>
      <c r="V388" s="113"/>
      <c r="W388" s="113"/>
      <c r="X388" s="113">
        <v>408.87790000000007</v>
      </c>
      <c r="Y388" s="113">
        <v>408.87790000000007</v>
      </c>
      <c r="Z388" s="113"/>
      <c r="AA388" s="113"/>
      <c r="AB388" s="113"/>
      <c r="AC388" s="113">
        <v>408.87790000000007</v>
      </c>
      <c r="AD388" s="348">
        <f t="shared" si="17"/>
        <v>1</v>
      </c>
      <c r="AE388" s="348"/>
      <c r="AF388" s="348"/>
      <c r="AG388" s="348"/>
      <c r="AH388" s="348">
        <f t="shared" si="22"/>
        <v>1</v>
      </c>
    </row>
    <row r="389" spans="1:34" ht="63">
      <c r="A389" s="347" t="s">
        <v>23</v>
      </c>
      <c r="B389" s="337" t="s">
        <v>876</v>
      </c>
      <c r="C389" s="347" t="s">
        <v>303</v>
      </c>
      <c r="D389" s="347"/>
      <c r="E389" s="369" t="s">
        <v>877</v>
      </c>
      <c r="F389" s="369" t="s">
        <v>793</v>
      </c>
      <c r="G389" s="113">
        <v>27712</v>
      </c>
      <c r="H389" s="113"/>
      <c r="I389" s="113">
        <v>5750</v>
      </c>
      <c r="J389" s="113"/>
      <c r="K389" s="113">
        <v>21962</v>
      </c>
      <c r="L389" s="113"/>
      <c r="M389" s="113"/>
      <c r="N389" s="113"/>
      <c r="O389" s="113"/>
      <c r="P389" s="113">
        <v>10373</v>
      </c>
      <c r="Q389" s="113"/>
      <c r="R389" s="113">
        <v>5802</v>
      </c>
      <c r="S389" s="113">
        <v>4571</v>
      </c>
      <c r="T389" s="113">
        <v>2219.9088900000002</v>
      </c>
      <c r="U389" s="113"/>
      <c r="V389" s="113"/>
      <c r="W389" s="113"/>
      <c r="X389" s="113">
        <v>2219.9088900000002</v>
      </c>
      <c r="Y389" s="113">
        <v>1595.7449999999999</v>
      </c>
      <c r="Z389" s="113"/>
      <c r="AA389" s="113"/>
      <c r="AB389" s="113"/>
      <c r="AC389" s="113">
        <v>1595.7449999999999</v>
      </c>
      <c r="AD389" s="348">
        <f t="shared" si="17"/>
        <v>0.71883355537172511</v>
      </c>
      <c r="AE389" s="348"/>
      <c r="AF389" s="348"/>
      <c r="AG389" s="348"/>
      <c r="AH389" s="348">
        <f t="shared" si="22"/>
        <v>0.71883355537172511</v>
      </c>
    </row>
    <row r="390" spans="1:34" ht="31.5">
      <c r="A390" s="347" t="s">
        <v>23</v>
      </c>
      <c r="B390" s="337" t="s">
        <v>878</v>
      </c>
      <c r="C390" s="347" t="s">
        <v>213</v>
      </c>
      <c r="D390" s="347"/>
      <c r="E390" s="369" t="s">
        <v>553</v>
      </c>
      <c r="F390" s="369" t="s">
        <v>879</v>
      </c>
      <c r="G390" s="113">
        <v>65215</v>
      </c>
      <c r="H390" s="113"/>
      <c r="I390" s="113"/>
      <c r="J390" s="113"/>
      <c r="K390" s="113">
        <v>65215</v>
      </c>
      <c r="L390" s="113">
        <v>60352</v>
      </c>
      <c r="M390" s="113"/>
      <c r="N390" s="113"/>
      <c r="O390" s="113">
        <v>60352</v>
      </c>
      <c r="P390" s="113">
        <v>58561</v>
      </c>
      <c r="Q390" s="113"/>
      <c r="R390" s="113"/>
      <c r="S390" s="113">
        <v>58561</v>
      </c>
      <c r="T390" s="113">
        <v>82.8</v>
      </c>
      <c r="U390" s="113"/>
      <c r="V390" s="113"/>
      <c r="W390" s="113"/>
      <c r="X390" s="113">
        <v>82.8</v>
      </c>
      <c r="Y390" s="113">
        <v>0</v>
      </c>
      <c r="Z390" s="113"/>
      <c r="AA390" s="113"/>
      <c r="AB390" s="113"/>
      <c r="AC390" s="113"/>
      <c r="AD390" s="348">
        <f t="shared" si="17"/>
        <v>0</v>
      </c>
      <c r="AE390" s="348"/>
      <c r="AF390" s="348"/>
      <c r="AG390" s="348"/>
      <c r="AH390" s="348">
        <f t="shared" si="22"/>
        <v>0</v>
      </c>
    </row>
    <row r="391" spans="1:34" ht="45">
      <c r="A391" s="347" t="s">
        <v>23</v>
      </c>
      <c r="B391" s="337" t="s">
        <v>880</v>
      </c>
      <c r="C391" s="347" t="s">
        <v>261</v>
      </c>
      <c r="D391" s="347"/>
      <c r="E391" s="369" t="s">
        <v>498</v>
      </c>
      <c r="F391" s="369" t="s">
        <v>881</v>
      </c>
      <c r="G391" s="113">
        <v>9431</v>
      </c>
      <c r="H391" s="113"/>
      <c r="I391" s="113">
        <v>2544</v>
      </c>
      <c r="J391" s="113"/>
      <c r="K391" s="113">
        <v>6887</v>
      </c>
      <c r="L391" s="113">
        <v>7755</v>
      </c>
      <c r="M391" s="113"/>
      <c r="N391" s="113">
        <v>2544</v>
      </c>
      <c r="O391" s="113">
        <f>L391-N391</f>
        <v>5211</v>
      </c>
      <c r="P391" s="113">
        <v>7743.1720000000005</v>
      </c>
      <c r="Q391" s="113"/>
      <c r="R391" s="113">
        <v>2544</v>
      </c>
      <c r="S391" s="113">
        <f>P391-R391</f>
        <v>5199.1720000000005</v>
      </c>
      <c r="T391" s="113">
        <v>699.17200000000003</v>
      </c>
      <c r="U391" s="113"/>
      <c r="V391" s="113"/>
      <c r="W391" s="113"/>
      <c r="X391" s="113">
        <v>699.17200000000003</v>
      </c>
      <c r="Y391" s="113">
        <v>699.17200000000003</v>
      </c>
      <c r="Z391" s="113"/>
      <c r="AA391" s="113"/>
      <c r="AB391" s="113"/>
      <c r="AC391" s="113">
        <v>699.17200000000003</v>
      </c>
      <c r="AD391" s="348">
        <f t="shared" si="17"/>
        <v>1</v>
      </c>
      <c r="AE391" s="348"/>
      <c r="AF391" s="348"/>
      <c r="AG391" s="348"/>
      <c r="AH391" s="348">
        <f t="shared" si="22"/>
        <v>1</v>
      </c>
    </row>
    <row r="392" spans="1:34" ht="31.5">
      <c r="A392" s="347" t="s">
        <v>23</v>
      </c>
      <c r="B392" s="337" t="s">
        <v>882</v>
      </c>
      <c r="C392" s="347" t="s">
        <v>265</v>
      </c>
      <c r="D392" s="347"/>
      <c r="E392" s="369" t="s">
        <v>498</v>
      </c>
      <c r="F392" s="369" t="s">
        <v>883</v>
      </c>
      <c r="G392" s="113">
        <v>20620</v>
      </c>
      <c r="H392" s="113"/>
      <c r="I392" s="113"/>
      <c r="J392" s="113"/>
      <c r="K392" s="113">
        <v>20620</v>
      </c>
      <c r="L392" s="113">
        <v>19462</v>
      </c>
      <c r="M392" s="113"/>
      <c r="N392" s="113"/>
      <c r="O392" s="113">
        <v>19462</v>
      </c>
      <c r="P392" s="113">
        <v>19461</v>
      </c>
      <c r="Q392" s="113"/>
      <c r="R392" s="113"/>
      <c r="S392" s="113">
        <v>19461</v>
      </c>
      <c r="T392" s="113">
        <v>1861</v>
      </c>
      <c r="U392" s="113"/>
      <c r="V392" s="113"/>
      <c r="W392" s="113"/>
      <c r="X392" s="113">
        <v>1861</v>
      </c>
      <c r="Y392" s="113">
        <v>1861</v>
      </c>
      <c r="Z392" s="113"/>
      <c r="AA392" s="113"/>
      <c r="AB392" s="113"/>
      <c r="AC392" s="113">
        <v>1861</v>
      </c>
      <c r="AD392" s="348">
        <f t="shared" si="17"/>
        <v>1</v>
      </c>
      <c r="AE392" s="348"/>
      <c r="AF392" s="348"/>
      <c r="AG392" s="348"/>
      <c r="AH392" s="348">
        <f t="shared" si="22"/>
        <v>1</v>
      </c>
    </row>
    <row r="393" spans="1:34" ht="31.5">
      <c r="A393" s="347" t="s">
        <v>23</v>
      </c>
      <c r="B393" s="337" t="s">
        <v>884</v>
      </c>
      <c r="C393" s="347" t="s">
        <v>213</v>
      </c>
      <c r="D393" s="347"/>
      <c r="E393" s="369" t="s">
        <v>245</v>
      </c>
      <c r="F393" s="369" t="s">
        <v>885</v>
      </c>
      <c r="G393" s="113">
        <v>9948</v>
      </c>
      <c r="H393" s="113"/>
      <c r="I393" s="113">
        <v>7958</v>
      </c>
      <c r="J393" s="113"/>
      <c r="K393" s="113">
        <v>1990</v>
      </c>
      <c r="L393" s="113">
        <v>8577</v>
      </c>
      <c r="M393" s="113"/>
      <c r="N393" s="113">
        <v>6353</v>
      </c>
      <c r="O393" s="113">
        <v>2224</v>
      </c>
      <c r="P393" s="113">
        <v>8117</v>
      </c>
      <c r="Q393" s="113"/>
      <c r="R393" s="113">
        <v>4240</v>
      </c>
      <c r="S393" s="113">
        <v>3877</v>
      </c>
      <c r="T393" s="113">
        <v>635.36109399999998</v>
      </c>
      <c r="U393" s="113"/>
      <c r="V393" s="113"/>
      <c r="W393" s="113"/>
      <c r="X393" s="113">
        <v>635.36109399999998</v>
      </c>
      <c r="Y393" s="113">
        <v>399.50339400000001</v>
      </c>
      <c r="Z393" s="113"/>
      <c r="AA393" s="113"/>
      <c r="AB393" s="113"/>
      <c r="AC393" s="113">
        <v>399.50339400000001</v>
      </c>
      <c r="AD393" s="348">
        <f t="shared" si="17"/>
        <v>0.62878164522928759</v>
      </c>
      <c r="AE393" s="348"/>
      <c r="AF393" s="348"/>
      <c r="AG393" s="348"/>
      <c r="AH393" s="348">
        <f t="shared" si="22"/>
        <v>0.62878164522928759</v>
      </c>
    </row>
    <row r="394" spans="1:34" ht="47.25">
      <c r="A394" s="347" t="s">
        <v>23</v>
      </c>
      <c r="B394" s="337" t="s">
        <v>886</v>
      </c>
      <c r="C394" s="347" t="s">
        <v>287</v>
      </c>
      <c r="D394" s="347"/>
      <c r="E394" s="369" t="s">
        <v>239</v>
      </c>
      <c r="F394" s="369" t="s">
        <v>887</v>
      </c>
      <c r="G394" s="113">
        <v>76203</v>
      </c>
      <c r="H394" s="113"/>
      <c r="I394" s="113">
        <v>50000</v>
      </c>
      <c r="J394" s="113"/>
      <c r="K394" s="113">
        <v>26203</v>
      </c>
      <c r="L394" s="113">
        <v>62004</v>
      </c>
      <c r="M394" s="113"/>
      <c r="N394" s="113">
        <v>50000</v>
      </c>
      <c r="O394" s="113">
        <v>12004</v>
      </c>
      <c r="P394" s="113">
        <v>55959</v>
      </c>
      <c r="Q394" s="113"/>
      <c r="R394" s="113">
        <v>50000</v>
      </c>
      <c r="S394" s="113">
        <v>5959</v>
      </c>
      <c r="T394" s="113">
        <v>11309.391</v>
      </c>
      <c r="U394" s="113"/>
      <c r="V394" s="113">
        <f>T394-X394</f>
        <v>11297.440999999999</v>
      </c>
      <c r="W394" s="113"/>
      <c r="X394" s="113">
        <v>11.95</v>
      </c>
      <c r="Y394" s="113">
        <f>AA394</f>
        <v>11140.477999999999</v>
      </c>
      <c r="Z394" s="113"/>
      <c r="AA394" s="113">
        <v>11140.477999999999</v>
      </c>
      <c r="AB394" s="113"/>
      <c r="AC394" s="113">
        <v>0</v>
      </c>
      <c r="AD394" s="348">
        <f t="shared" si="17"/>
        <v>0.9850643593452556</v>
      </c>
      <c r="AE394" s="348"/>
      <c r="AF394" s="348">
        <f t="shared" si="18"/>
        <v>0.98610632266191967</v>
      </c>
      <c r="AG394" s="348"/>
      <c r="AH394" s="348">
        <f t="shared" si="22"/>
        <v>0</v>
      </c>
    </row>
    <row r="395" spans="1:34" ht="63">
      <c r="A395" s="347" t="s">
        <v>23</v>
      </c>
      <c r="B395" s="337" t="s">
        <v>888</v>
      </c>
      <c r="C395" s="347" t="s">
        <v>303</v>
      </c>
      <c r="D395" s="347"/>
      <c r="E395" s="369" t="s">
        <v>369</v>
      </c>
      <c r="F395" s="369" t="s">
        <v>889</v>
      </c>
      <c r="G395" s="113">
        <v>14783</v>
      </c>
      <c r="H395" s="113"/>
      <c r="I395" s="113">
        <v>8313</v>
      </c>
      <c r="J395" s="113"/>
      <c r="K395" s="113">
        <v>6470</v>
      </c>
      <c r="L395" s="113">
        <v>11869</v>
      </c>
      <c r="M395" s="113"/>
      <c r="N395" s="113">
        <v>7493</v>
      </c>
      <c r="O395" s="113">
        <v>4376</v>
      </c>
      <c r="P395" s="113">
        <v>11869</v>
      </c>
      <c r="Q395" s="113"/>
      <c r="R395" s="113">
        <v>7493</v>
      </c>
      <c r="S395" s="113">
        <v>4376</v>
      </c>
      <c r="T395" s="113">
        <v>1487.6130000000001</v>
      </c>
      <c r="U395" s="113"/>
      <c r="V395" s="113"/>
      <c r="W395" s="113"/>
      <c r="X395" s="113">
        <v>1487.6130000000001</v>
      </c>
      <c r="Y395" s="113">
        <v>1487.6130000000001</v>
      </c>
      <c r="Z395" s="113"/>
      <c r="AA395" s="113"/>
      <c r="AB395" s="113"/>
      <c r="AC395" s="113">
        <v>1487.6130000000001</v>
      </c>
      <c r="AD395" s="348">
        <f t="shared" si="17"/>
        <v>1</v>
      </c>
      <c r="AE395" s="348"/>
      <c r="AF395" s="348"/>
      <c r="AG395" s="348"/>
      <c r="AH395" s="348">
        <f t="shared" si="22"/>
        <v>1</v>
      </c>
    </row>
    <row r="396" spans="1:34" ht="47.25">
      <c r="A396" s="347" t="s">
        <v>23</v>
      </c>
      <c r="B396" s="337" t="s">
        <v>890</v>
      </c>
      <c r="C396" s="347" t="s">
        <v>427</v>
      </c>
      <c r="D396" s="347"/>
      <c r="E396" s="369" t="s">
        <v>378</v>
      </c>
      <c r="F396" s="369" t="s">
        <v>891</v>
      </c>
      <c r="G396" s="113">
        <v>1209</v>
      </c>
      <c r="H396" s="113"/>
      <c r="I396" s="113"/>
      <c r="J396" s="113"/>
      <c r="K396" s="113">
        <v>1209</v>
      </c>
      <c r="L396" s="113">
        <v>980</v>
      </c>
      <c r="M396" s="113"/>
      <c r="N396" s="113"/>
      <c r="O396" s="113">
        <v>980</v>
      </c>
      <c r="P396" s="113">
        <v>827</v>
      </c>
      <c r="Q396" s="113"/>
      <c r="R396" s="113"/>
      <c r="S396" s="113">
        <v>827</v>
      </c>
      <c r="T396" s="113">
        <v>303.8</v>
      </c>
      <c r="U396" s="113"/>
      <c r="V396" s="113"/>
      <c r="W396" s="113"/>
      <c r="X396" s="113">
        <v>303.8</v>
      </c>
      <c r="Y396" s="113">
        <v>192.8</v>
      </c>
      <c r="Z396" s="113"/>
      <c r="AA396" s="113"/>
      <c r="AB396" s="113"/>
      <c r="AC396" s="113">
        <v>192.8</v>
      </c>
      <c r="AD396" s="348">
        <f t="shared" si="17"/>
        <v>0.63462804476629364</v>
      </c>
      <c r="AE396" s="348"/>
      <c r="AF396" s="348"/>
      <c r="AG396" s="348"/>
      <c r="AH396" s="348">
        <f t="shared" si="22"/>
        <v>0.63462804476629364</v>
      </c>
    </row>
    <row r="397" spans="1:34" ht="31.5">
      <c r="A397" s="347" t="s">
        <v>23</v>
      </c>
      <c r="B397" s="337" t="s">
        <v>892</v>
      </c>
      <c r="C397" s="347" t="s">
        <v>427</v>
      </c>
      <c r="D397" s="347"/>
      <c r="E397" s="369" t="s">
        <v>266</v>
      </c>
      <c r="F397" s="369" t="s">
        <v>893</v>
      </c>
      <c r="G397" s="113">
        <v>29673</v>
      </c>
      <c r="H397" s="113"/>
      <c r="I397" s="113"/>
      <c r="J397" s="113"/>
      <c r="K397" s="113">
        <v>29673</v>
      </c>
      <c r="L397" s="113">
        <v>26360</v>
      </c>
      <c r="M397" s="113"/>
      <c r="N397" s="113"/>
      <c r="O397" s="113">
        <v>26360</v>
      </c>
      <c r="P397" s="113">
        <v>22739</v>
      </c>
      <c r="Q397" s="113"/>
      <c r="R397" s="113"/>
      <c r="S397" s="113">
        <v>22739</v>
      </c>
      <c r="T397" s="113">
        <v>9765.5521000000008</v>
      </c>
      <c r="U397" s="113"/>
      <c r="V397" s="113"/>
      <c r="W397" s="113"/>
      <c r="X397" s="113">
        <v>9765.5521000000008</v>
      </c>
      <c r="Y397" s="113">
        <v>9765.5521000000008</v>
      </c>
      <c r="Z397" s="113"/>
      <c r="AA397" s="113"/>
      <c r="AB397" s="113"/>
      <c r="AC397" s="113">
        <v>9765.5521000000008</v>
      </c>
      <c r="AD397" s="348">
        <f t="shared" si="17"/>
        <v>1</v>
      </c>
      <c r="AE397" s="348"/>
      <c r="AF397" s="348"/>
      <c r="AG397" s="348"/>
      <c r="AH397" s="348">
        <f t="shared" si="22"/>
        <v>1</v>
      </c>
    </row>
    <row r="398" spans="1:34" ht="31.5">
      <c r="A398" s="347" t="s">
        <v>23</v>
      </c>
      <c r="B398" s="337" t="s">
        <v>894</v>
      </c>
      <c r="C398" s="347" t="s">
        <v>213</v>
      </c>
      <c r="D398" s="347"/>
      <c r="E398" s="369" t="s">
        <v>236</v>
      </c>
      <c r="F398" s="369" t="s">
        <v>895</v>
      </c>
      <c r="G398" s="113">
        <v>24117</v>
      </c>
      <c r="H398" s="113"/>
      <c r="I398" s="113"/>
      <c r="J398" s="113"/>
      <c r="K398" s="113">
        <v>24117</v>
      </c>
      <c r="L398" s="113">
        <v>14700</v>
      </c>
      <c r="M398" s="113"/>
      <c r="N398" s="113"/>
      <c r="O398" s="113">
        <v>14700</v>
      </c>
      <c r="P398" s="113">
        <v>9700</v>
      </c>
      <c r="Q398" s="113"/>
      <c r="R398" s="113"/>
      <c r="S398" s="113">
        <v>9700</v>
      </c>
      <c r="T398" s="113">
        <v>5741.5844999999999</v>
      </c>
      <c r="U398" s="113"/>
      <c r="V398" s="113"/>
      <c r="W398" s="113"/>
      <c r="X398" s="113">
        <v>5741.5844999999999</v>
      </c>
      <c r="Y398" s="113">
        <v>2958</v>
      </c>
      <c r="Z398" s="113"/>
      <c r="AA398" s="113"/>
      <c r="AB398" s="113"/>
      <c r="AC398" s="113">
        <v>2958</v>
      </c>
      <c r="AD398" s="348">
        <f t="shared" ref="AD398:AE460" si="23">Y398/T398</f>
        <v>0.51518879500946124</v>
      </c>
      <c r="AE398" s="348"/>
      <c r="AF398" s="348"/>
      <c r="AG398" s="348"/>
      <c r="AH398" s="348">
        <f t="shared" si="22"/>
        <v>0.51518879500946124</v>
      </c>
    </row>
    <row r="399" spans="1:34" ht="47.25">
      <c r="A399" s="347" t="s">
        <v>23</v>
      </c>
      <c r="B399" s="337" t="s">
        <v>896</v>
      </c>
      <c r="C399" s="347" t="s">
        <v>213</v>
      </c>
      <c r="D399" s="347"/>
      <c r="E399" s="369" t="s">
        <v>236</v>
      </c>
      <c r="F399" s="369" t="s">
        <v>897</v>
      </c>
      <c r="G399" s="113">
        <v>9869</v>
      </c>
      <c r="H399" s="113"/>
      <c r="I399" s="113"/>
      <c r="J399" s="113"/>
      <c r="K399" s="113">
        <v>9869</v>
      </c>
      <c r="L399" s="113">
        <v>7003</v>
      </c>
      <c r="M399" s="113"/>
      <c r="N399" s="113"/>
      <c r="O399" s="113">
        <v>7003</v>
      </c>
      <c r="P399" s="113">
        <v>6150</v>
      </c>
      <c r="Q399" s="113"/>
      <c r="R399" s="113"/>
      <c r="S399" s="113">
        <v>6150</v>
      </c>
      <c r="T399" s="113">
        <v>1523.665</v>
      </c>
      <c r="U399" s="113"/>
      <c r="V399" s="113"/>
      <c r="W399" s="113"/>
      <c r="X399" s="113">
        <v>1523.665</v>
      </c>
      <c r="Y399" s="113">
        <v>1500</v>
      </c>
      <c r="Z399" s="113"/>
      <c r="AA399" s="113"/>
      <c r="AB399" s="113"/>
      <c r="AC399" s="113">
        <v>1500</v>
      </c>
      <c r="AD399" s="348">
        <f t="shared" si="23"/>
        <v>0.98446837067203097</v>
      </c>
      <c r="AE399" s="348"/>
      <c r="AF399" s="348"/>
      <c r="AG399" s="348"/>
      <c r="AH399" s="348">
        <f t="shared" si="22"/>
        <v>0.98446837067203097</v>
      </c>
    </row>
    <row r="400" spans="1:34" ht="31.5">
      <c r="A400" s="347" t="s">
        <v>23</v>
      </c>
      <c r="B400" s="337" t="s">
        <v>898</v>
      </c>
      <c r="C400" s="347" t="s">
        <v>427</v>
      </c>
      <c r="D400" s="347"/>
      <c r="E400" s="369" t="s">
        <v>218</v>
      </c>
      <c r="F400" s="369" t="s">
        <v>899</v>
      </c>
      <c r="G400" s="113">
        <v>18483</v>
      </c>
      <c r="H400" s="113"/>
      <c r="I400" s="113"/>
      <c r="J400" s="113"/>
      <c r="K400" s="113">
        <v>18483</v>
      </c>
      <c r="L400" s="113">
        <v>11550</v>
      </c>
      <c r="M400" s="113"/>
      <c r="N400" s="113"/>
      <c r="O400" s="113">
        <v>11550</v>
      </c>
      <c r="P400" s="113">
        <v>9866</v>
      </c>
      <c r="Q400" s="113"/>
      <c r="R400" s="113"/>
      <c r="S400" s="113">
        <v>9866</v>
      </c>
      <c r="T400" s="113">
        <v>16628.900000000001</v>
      </c>
      <c r="U400" s="113"/>
      <c r="V400" s="113"/>
      <c r="W400" s="113"/>
      <c r="X400" s="113">
        <v>16628.900000000001</v>
      </c>
      <c r="Y400" s="113">
        <v>5379.2309999999998</v>
      </c>
      <c r="Z400" s="113"/>
      <c r="AA400" s="113"/>
      <c r="AB400" s="113"/>
      <c r="AC400" s="113">
        <v>5379.2309999999998</v>
      </c>
      <c r="AD400" s="348">
        <f t="shared" si="23"/>
        <v>0.32348688127296449</v>
      </c>
      <c r="AE400" s="348"/>
      <c r="AF400" s="348"/>
      <c r="AG400" s="348"/>
      <c r="AH400" s="348">
        <f t="shared" si="22"/>
        <v>0.32348688127296449</v>
      </c>
    </row>
    <row r="401" spans="1:34" ht="31.5">
      <c r="A401" s="347" t="s">
        <v>23</v>
      </c>
      <c r="B401" s="337" t="s">
        <v>900</v>
      </c>
      <c r="C401" s="347" t="s">
        <v>476</v>
      </c>
      <c r="D401" s="347"/>
      <c r="E401" s="369">
        <v>2016</v>
      </c>
      <c r="F401" s="369" t="s">
        <v>901</v>
      </c>
      <c r="G401" s="113">
        <v>1041</v>
      </c>
      <c r="H401" s="113"/>
      <c r="I401" s="113"/>
      <c r="J401" s="113"/>
      <c r="K401" s="113">
        <v>537</v>
      </c>
      <c r="L401" s="113">
        <v>504</v>
      </c>
      <c r="M401" s="113"/>
      <c r="N401" s="113"/>
      <c r="O401" s="113">
        <v>504</v>
      </c>
      <c r="P401" s="113">
        <v>504</v>
      </c>
      <c r="Q401" s="113"/>
      <c r="R401" s="113"/>
      <c r="S401" s="113">
        <v>504</v>
      </c>
      <c r="T401" s="113">
        <v>79</v>
      </c>
      <c r="U401" s="113"/>
      <c r="V401" s="113"/>
      <c r="W401" s="113"/>
      <c r="X401" s="113">
        <v>79</v>
      </c>
      <c r="Y401" s="113">
        <v>79</v>
      </c>
      <c r="Z401" s="113"/>
      <c r="AA401" s="113"/>
      <c r="AB401" s="113"/>
      <c r="AC401" s="113">
        <v>79</v>
      </c>
      <c r="AD401" s="348">
        <f t="shared" si="23"/>
        <v>1</v>
      </c>
      <c r="AE401" s="348"/>
      <c r="AF401" s="348"/>
      <c r="AG401" s="348"/>
      <c r="AH401" s="348">
        <f t="shared" si="22"/>
        <v>1</v>
      </c>
    </row>
    <row r="402" spans="1:34" ht="47.25">
      <c r="A402" s="347" t="s">
        <v>23</v>
      </c>
      <c r="B402" s="337" t="s">
        <v>902</v>
      </c>
      <c r="C402" s="347" t="s">
        <v>287</v>
      </c>
      <c r="D402" s="347"/>
      <c r="E402" s="369">
        <v>2017</v>
      </c>
      <c r="F402" s="369" t="s">
        <v>903</v>
      </c>
      <c r="G402" s="113">
        <v>641.41200000000003</v>
      </c>
      <c r="H402" s="113"/>
      <c r="I402" s="113"/>
      <c r="J402" s="113"/>
      <c r="K402" s="113">
        <v>641.41200000000003</v>
      </c>
      <c r="L402" s="113">
        <v>618.62199999999996</v>
      </c>
      <c r="M402" s="113"/>
      <c r="N402" s="113"/>
      <c r="O402" s="113">
        <v>618.62199999999996</v>
      </c>
      <c r="P402" s="113">
        <v>643</v>
      </c>
      <c r="Q402" s="113"/>
      <c r="R402" s="113"/>
      <c r="S402" s="113">
        <v>643</v>
      </c>
      <c r="T402" s="113">
        <v>643</v>
      </c>
      <c r="U402" s="113"/>
      <c r="V402" s="113"/>
      <c r="W402" s="113"/>
      <c r="X402" s="113">
        <v>643</v>
      </c>
      <c r="Y402" s="113">
        <v>551.01400000000001</v>
      </c>
      <c r="Z402" s="113"/>
      <c r="AA402" s="113"/>
      <c r="AB402" s="113"/>
      <c r="AC402" s="113">
        <v>551.01400000000001</v>
      </c>
      <c r="AD402" s="348">
        <f t="shared" si="23"/>
        <v>0.85694245723172635</v>
      </c>
      <c r="AE402" s="348"/>
      <c r="AF402" s="348"/>
      <c r="AG402" s="348"/>
      <c r="AH402" s="348">
        <f t="shared" si="22"/>
        <v>0.85694245723172635</v>
      </c>
    </row>
    <row r="403" spans="1:34">
      <c r="A403" s="334">
        <v>62</v>
      </c>
      <c r="B403" s="335" t="s">
        <v>187</v>
      </c>
      <c r="C403" s="347"/>
      <c r="D403" s="347"/>
      <c r="E403" s="369"/>
      <c r="F403" s="369"/>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c r="AC403" s="113"/>
      <c r="AD403" s="348"/>
      <c r="AE403" s="348"/>
      <c r="AF403" s="348"/>
      <c r="AG403" s="348"/>
      <c r="AH403" s="348"/>
    </row>
    <row r="404" spans="1:34" ht="31.5">
      <c r="A404" s="347" t="s">
        <v>23</v>
      </c>
      <c r="B404" s="337" t="s">
        <v>904</v>
      </c>
      <c r="C404" s="347" t="s">
        <v>284</v>
      </c>
      <c r="D404" s="347"/>
      <c r="E404" s="369" t="s">
        <v>905</v>
      </c>
      <c r="F404" s="369" t="s">
        <v>906</v>
      </c>
      <c r="G404" s="113">
        <v>31283</v>
      </c>
      <c r="H404" s="113"/>
      <c r="I404" s="113"/>
      <c r="J404" s="113">
        <v>22760</v>
      </c>
      <c r="K404" s="113">
        <v>8523</v>
      </c>
      <c r="L404" s="113">
        <v>26609</v>
      </c>
      <c r="M404" s="113"/>
      <c r="N404" s="113">
        <v>22760</v>
      </c>
      <c r="O404" s="113">
        <v>3849</v>
      </c>
      <c r="P404" s="113">
        <v>26609</v>
      </c>
      <c r="Q404" s="113"/>
      <c r="R404" s="113">
        <v>22760</v>
      </c>
      <c r="S404" s="113">
        <v>3849</v>
      </c>
      <c r="T404" s="113">
        <v>3847.663</v>
      </c>
      <c r="U404" s="113"/>
      <c r="V404" s="113"/>
      <c r="W404" s="113"/>
      <c r="X404" s="113">
        <v>3847.663</v>
      </c>
      <c r="Y404" s="113">
        <v>3653.2435</v>
      </c>
      <c r="Z404" s="113"/>
      <c r="AA404" s="113"/>
      <c r="AB404" s="113"/>
      <c r="AC404" s="113">
        <v>3653.2435</v>
      </c>
      <c r="AD404" s="348">
        <f t="shared" si="23"/>
        <v>0.94947075666449998</v>
      </c>
      <c r="AE404" s="348"/>
      <c r="AF404" s="348"/>
      <c r="AG404" s="348"/>
      <c r="AH404" s="348">
        <f t="shared" ref="AH404:AH413" si="24">AC404/X404</f>
        <v>0.94947075666449998</v>
      </c>
    </row>
    <row r="405" spans="1:34" ht="60">
      <c r="A405" s="347" t="s">
        <v>23</v>
      </c>
      <c r="B405" s="337" t="s">
        <v>907</v>
      </c>
      <c r="C405" s="347" t="s">
        <v>213</v>
      </c>
      <c r="D405" s="347"/>
      <c r="E405" s="369" t="s">
        <v>908</v>
      </c>
      <c r="F405" s="369" t="s">
        <v>909</v>
      </c>
      <c r="G405" s="113">
        <v>1098.79</v>
      </c>
      <c r="H405" s="113"/>
      <c r="I405" s="113"/>
      <c r="J405" s="113"/>
      <c r="K405" s="113">
        <v>1098.79</v>
      </c>
      <c r="L405" s="113">
        <v>1051</v>
      </c>
      <c r="M405" s="113"/>
      <c r="N405" s="113"/>
      <c r="O405" s="113">
        <v>1051</v>
      </c>
      <c r="P405" s="113">
        <v>1051</v>
      </c>
      <c r="Q405" s="113"/>
      <c r="R405" s="113"/>
      <c r="S405" s="113">
        <v>1051</v>
      </c>
      <c r="T405" s="113">
        <v>1.7230000000000001</v>
      </c>
      <c r="U405" s="113"/>
      <c r="V405" s="113"/>
      <c r="W405" s="113"/>
      <c r="X405" s="113">
        <v>1.7230000000000001</v>
      </c>
      <c r="Y405" s="113">
        <v>1.7230000000000001</v>
      </c>
      <c r="Z405" s="113"/>
      <c r="AA405" s="113"/>
      <c r="AB405" s="113"/>
      <c r="AC405" s="113">
        <v>1.7230000000000001</v>
      </c>
      <c r="AD405" s="348">
        <f t="shared" si="23"/>
        <v>1</v>
      </c>
      <c r="AE405" s="348"/>
      <c r="AF405" s="348"/>
      <c r="AG405" s="348"/>
      <c r="AH405" s="348">
        <f t="shared" si="24"/>
        <v>1</v>
      </c>
    </row>
    <row r="406" spans="1:34" ht="31.5">
      <c r="A406" s="347" t="s">
        <v>23</v>
      </c>
      <c r="B406" s="337" t="s">
        <v>910</v>
      </c>
      <c r="C406" s="347" t="s">
        <v>213</v>
      </c>
      <c r="D406" s="347"/>
      <c r="E406" s="369" t="s">
        <v>911</v>
      </c>
      <c r="F406" s="369" t="s">
        <v>912</v>
      </c>
      <c r="G406" s="113">
        <v>18880</v>
      </c>
      <c r="H406" s="113"/>
      <c r="I406" s="113"/>
      <c r="J406" s="113">
        <v>18880</v>
      </c>
      <c r="K406" s="113"/>
      <c r="L406" s="113">
        <v>18359</v>
      </c>
      <c r="M406" s="113"/>
      <c r="N406" s="113">
        <v>18359</v>
      </c>
      <c r="O406" s="113"/>
      <c r="P406" s="113">
        <v>24113</v>
      </c>
      <c r="Q406" s="113"/>
      <c r="R406" s="113">
        <v>24113</v>
      </c>
      <c r="S406" s="113"/>
      <c r="T406" s="113">
        <f>0.203+136.883+4062.617</f>
        <v>4199.7030000000004</v>
      </c>
      <c r="U406" s="113"/>
      <c r="V406" s="113"/>
      <c r="W406" s="113">
        <f>136.883+4062.617</f>
        <v>4199.5</v>
      </c>
      <c r="X406" s="113">
        <v>0.20300000000000001</v>
      </c>
      <c r="Y406" s="113">
        <v>136.88300000000001</v>
      </c>
      <c r="Z406" s="113"/>
      <c r="AA406" s="113"/>
      <c r="AB406" s="113">
        <v>136.88300000000001</v>
      </c>
      <c r="AC406" s="113"/>
      <c r="AD406" s="348">
        <f t="shared" si="23"/>
        <v>3.2593495301929683E-2</v>
      </c>
      <c r="AE406" s="348"/>
      <c r="AF406" s="348"/>
      <c r="AG406" s="348">
        <f>AB406/W406</f>
        <v>3.2595070841766882E-2</v>
      </c>
      <c r="AH406" s="348">
        <f t="shared" si="24"/>
        <v>0</v>
      </c>
    </row>
    <row r="407" spans="1:34" ht="31.5">
      <c r="A407" s="347" t="s">
        <v>23</v>
      </c>
      <c r="B407" s="337" t="s">
        <v>913</v>
      </c>
      <c r="C407" s="347" t="s">
        <v>213</v>
      </c>
      <c r="D407" s="347"/>
      <c r="E407" s="369" t="s">
        <v>369</v>
      </c>
      <c r="F407" s="369" t="s">
        <v>914</v>
      </c>
      <c r="G407" s="113">
        <v>6072</v>
      </c>
      <c r="H407" s="113"/>
      <c r="I407" s="113"/>
      <c r="J407" s="113"/>
      <c r="K407" s="113">
        <v>6072</v>
      </c>
      <c r="L407" s="113">
        <v>5172</v>
      </c>
      <c r="M407" s="113"/>
      <c r="N407" s="113"/>
      <c r="O407" s="113">
        <v>5172</v>
      </c>
      <c r="P407" s="113">
        <v>5172</v>
      </c>
      <c r="Q407" s="113"/>
      <c r="R407" s="113"/>
      <c r="S407" s="113">
        <v>5172</v>
      </c>
      <c r="T407" s="113">
        <v>19.266999999999999</v>
      </c>
      <c r="U407" s="113"/>
      <c r="V407" s="113"/>
      <c r="W407" s="113"/>
      <c r="X407" s="113">
        <v>19.266999999999999</v>
      </c>
      <c r="Y407" s="113">
        <v>19.266999999999999</v>
      </c>
      <c r="Z407" s="113"/>
      <c r="AA407" s="113"/>
      <c r="AB407" s="113"/>
      <c r="AC407" s="113">
        <v>19.266999999999999</v>
      </c>
      <c r="AD407" s="348">
        <f t="shared" si="23"/>
        <v>1</v>
      </c>
      <c r="AE407" s="348"/>
      <c r="AF407" s="348"/>
      <c r="AG407" s="348"/>
      <c r="AH407" s="348">
        <f t="shared" si="24"/>
        <v>1</v>
      </c>
    </row>
    <row r="408" spans="1:34" ht="31.5">
      <c r="A408" s="347" t="s">
        <v>23</v>
      </c>
      <c r="B408" s="337" t="s">
        <v>915</v>
      </c>
      <c r="C408" s="347" t="s">
        <v>427</v>
      </c>
      <c r="D408" s="347"/>
      <c r="E408" s="369">
        <v>2008</v>
      </c>
      <c r="F408" s="369" t="s">
        <v>916</v>
      </c>
      <c r="G408" s="113">
        <v>31731</v>
      </c>
      <c r="H408" s="113"/>
      <c r="I408" s="113"/>
      <c r="J408" s="113">
        <v>24724</v>
      </c>
      <c r="K408" s="113">
        <v>6989</v>
      </c>
      <c r="L408" s="113">
        <v>31561</v>
      </c>
      <c r="M408" s="113"/>
      <c r="N408" s="113">
        <v>24742</v>
      </c>
      <c r="O408" s="113">
        <v>6819</v>
      </c>
      <c r="P408" s="113">
        <v>31561</v>
      </c>
      <c r="Q408" s="113"/>
      <c r="R408" s="113">
        <v>24742</v>
      </c>
      <c r="S408" s="113">
        <v>6819</v>
      </c>
      <c r="T408" s="113">
        <v>814.13599999999997</v>
      </c>
      <c r="U408" s="113"/>
      <c r="V408" s="113"/>
      <c r="W408" s="113"/>
      <c r="X408" s="113">
        <v>814.13599999999997</v>
      </c>
      <c r="Y408" s="113">
        <v>629.71100000000001</v>
      </c>
      <c r="Z408" s="113"/>
      <c r="AA408" s="113"/>
      <c r="AB408" s="113"/>
      <c r="AC408" s="113">
        <v>629.71100000000001</v>
      </c>
      <c r="AD408" s="348">
        <f t="shared" si="23"/>
        <v>0.7734715084457634</v>
      </c>
      <c r="AE408" s="348"/>
      <c r="AF408" s="348"/>
      <c r="AG408" s="348"/>
      <c r="AH408" s="348">
        <f t="shared" si="24"/>
        <v>0.7734715084457634</v>
      </c>
    </row>
    <row r="409" spans="1:34" ht="78.75">
      <c r="A409" s="347" t="s">
        <v>23</v>
      </c>
      <c r="B409" s="337" t="s">
        <v>917</v>
      </c>
      <c r="C409" s="347" t="s">
        <v>213</v>
      </c>
      <c r="D409" s="347" t="s">
        <v>918</v>
      </c>
      <c r="E409" s="369" t="s">
        <v>919</v>
      </c>
      <c r="F409" s="369" t="s">
        <v>920</v>
      </c>
      <c r="G409" s="113">
        <v>2649.27</v>
      </c>
      <c r="H409" s="113"/>
      <c r="I409" s="113"/>
      <c r="J409" s="113"/>
      <c r="K409" s="113">
        <v>2649.27</v>
      </c>
      <c r="L409" s="113">
        <v>2264</v>
      </c>
      <c r="M409" s="113"/>
      <c r="N409" s="113"/>
      <c r="O409" s="113">
        <v>2264</v>
      </c>
      <c r="P409" s="113">
        <v>2264</v>
      </c>
      <c r="Q409" s="113"/>
      <c r="R409" s="113"/>
      <c r="S409" s="113">
        <v>2264</v>
      </c>
      <c r="T409" s="113">
        <v>1</v>
      </c>
      <c r="U409" s="113"/>
      <c r="V409" s="113"/>
      <c r="W409" s="113"/>
      <c r="X409" s="113">
        <v>1</v>
      </c>
      <c r="Y409" s="113">
        <v>1</v>
      </c>
      <c r="Z409" s="113"/>
      <c r="AA409" s="113"/>
      <c r="AB409" s="113"/>
      <c r="AC409" s="113">
        <v>1</v>
      </c>
      <c r="AD409" s="348">
        <f t="shared" si="23"/>
        <v>1</v>
      </c>
      <c r="AE409" s="348"/>
      <c r="AF409" s="348"/>
      <c r="AG409" s="348"/>
      <c r="AH409" s="348">
        <f t="shared" si="24"/>
        <v>1</v>
      </c>
    </row>
    <row r="410" spans="1:34" ht="31.5">
      <c r="A410" s="347" t="s">
        <v>23</v>
      </c>
      <c r="B410" s="337" t="s">
        <v>921</v>
      </c>
      <c r="C410" s="347" t="s">
        <v>595</v>
      </c>
      <c r="D410" s="347"/>
      <c r="E410" s="369" t="s">
        <v>922</v>
      </c>
      <c r="F410" s="369" t="s">
        <v>846</v>
      </c>
      <c r="G410" s="113">
        <v>36531.800000000003</v>
      </c>
      <c r="H410" s="113"/>
      <c r="I410" s="113"/>
      <c r="J410" s="113">
        <v>36531.800000000003</v>
      </c>
      <c r="K410" s="113"/>
      <c r="L410" s="113">
        <v>36371</v>
      </c>
      <c r="M410" s="113"/>
      <c r="N410" s="113">
        <v>35214</v>
      </c>
      <c r="O410" s="113">
        <v>1157</v>
      </c>
      <c r="P410" s="113">
        <v>36351</v>
      </c>
      <c r="Q410" s="113"/>
      <c r="R410" s="113">
        <v>35214</v>
      </c>
      <c r="S410" s="113">
        <v>1137</v>
      </c>
      <c r="T410" s="113">
        <v>1137.07</v>
      </c>
      <c r="U410" s="113"/>
      <c r="V410" s="113"/>
      <c r="W410" s="113"/>
      <c r="X410" s="113">
        <v>1137.07</v>
      </c>
      <c r="Y410" s="113">
        <v>1007.576</v>
      </c>
      <c r="Z410" s="113"/>
      <c r="AA410" s="113"/>
      <c r="AB410" s="113"/>
      <c r="AC410" s="113">
        <v>1007.576</v>
      </c>
      <c r="AD410" s="348">
        <f t="shared" si="23"/>
        <v>0.88611607025073225</v>
      </c>
      <c r="AE410" s="348"/>
      <c r="AF410" s="348"/>
      <c r="AG410" s="348"/>
      <c r="AH410" s="348">
        <f t="shared" si="24"/>
        <v>0.88611607025073225</v>
      </c>
    </row>
    <row r="411" spans="1:34" ht="105">
      <c r="A411" s="347" t="s">
        <v>23</v>
      </c>
      <c r="B411" s="337" t="s">
        <v>923</v>
      </c>
      <c r="C411" s="347" t="s">
        <v>261</v>
      </c>
      <c r="D411" s="347" t="s">
        <v>924</v>
      </c>
      <c r="E411" s="369" t="s">
        <v>925</v>
      </c>
      <c r="F411" s="369" t="s">
        <v>1502</v>
      </c>
      <c r="G411" s="113">
        <v>62293</v>
      </c>
      <c r="H411" s="113">
        <v>56663</v>
      </c>
      <c r="I411" s="113"/>
      <c r="J411" s="113"/>
      <c r="K411" s="113">
        <v>5630</v>
      </c>
      <c r="L411" s="113">
        <v>54111</v>
      </c>
      <c r="M411" s="113">
        <v>50313</v>
      </c>
      <c r="N411" s="113"/>
      <c r="O411" s="113">
        <v>3798</v>
      </c>
      <c r="P411" s="113">
        <v>54111</v>
      </c>
      <c r="Q411" s="113">
        <v>50313</v>
      </c>
      <c r="R411" s="113"/>
      <c r="S411" s="113">
        <v>3798</v>
      </c>
      <c r="T411" s="113">
        <v>2010.892934</v>
      </c>
      <c r="U411" s="113">
        <v>1652.1792780000001</v>
      </c>
      <c r="V411" s="113"/>
      <c r="W411" s="113"/>
      <c r="X411" s="113">
        <f>T411-U411</f>
        <v>358.7136559999999</v>
      </c>
      <c r="Y411" s="113">
        <v>1683.2702039999999</v>
      </c>
      <c r="Z411" s="113">
        <v>1324.556548</v>
      </c>
      <c r="AA411" s="113"/>
      <c r="AB411" s="113"/>
      <c r="AC411" s="113">
        <v>358.7136559999999</v>
      </c>
      <c r="AD411" s="348">
        <f t="shared" si="23"/>
        <v>0.83707599521556619</v>
      </c>
      <c r="AE411" s="348">
        <f t="shared" si="23"/>
        <v>0.80170267575526388</v>
      </c>
      <c r="AF411" s="348"/>
      <c r="AG411" s="348"/>
      <c r="AH411" s="348">
        <f t="shared" si="24"/>
        <v>1</v>
      </c>
    </row>
    <row r="412" spans="1:34" ht="60">
      <c r="A412" s="347" t="s">
        <v>23</v>
      </c>
      <c r="B412" s="337" t="s">
        <v>926</v>
      </c>
      <c r="C412" s="347" t="s">
        <v>284</v>
      </c>
      <c r="D412" s="347"/>
      <c r="E412" s="369" t="s">
        <v>229</v>
      </c>
      <c r="F412" s="369" t="s">
        <v>927</v>
      </c>
      <c r="G412" s="113">
        <v>43741.81</v>
      </c>
      <c r="H412" s="113"/>
      <c r="I412" s="113"/>
      <c r="J412" s="113"/>
      <c r="K412" s="113">
        <v>43741.81</v>
      </c>
      <c r="L412" s="113">
        <v>39071</v>
      </c>
      <c r="M412" s="113"/>
      <c r="N412" s="113"/>
      <c r="O412" s="113">
        <v>39071</v>
      </c>
      <c r="P412" s="113">
        <v>39071</v>
      </c>
      <c r="Q412" s="113"/>
      <c r="R412" s="113"/>
      <c r="S412" s="113">
        <v>39071</v>
      </c>
      <c r="T412" s="113">
        <v>2054.748</v>
      </c>
      <c r="U412" s="113"/>
      <c r="V412" s="113"/>
      <c r="W412" s="113"/>
      <c r="X412" s="113">
        <v>2054.748</v>
      </c>
      <c r="Y412" s="113">
        <v>1657.866</v>
      </c>
      <c r="Z412" s="113"/>
      <c r="AA412" s="113"/>
      <c r="AB412" s="113"/>
      <c r="AC412" s="113">
        <v>1657.866</v>
      </c>
      <c r="AD412" s="348">
        <f t="shared" si="23"/>
        <v>0.80684638700220168</v>
      </c>
      <c r="AE412" s="348"/>
      <c r="AF412" s="348"/>
      <c r="AG412" s="348"/>
      <c r="AH412" s="348">
        <f t="shared" si="24"/>
        <v>0.80684638700220168</v>
      </c>
    </row>
    <row r="413" spans="1:34" ht="31.5">
      <c r="A413" s="347" t="s">
        <v>23</v>
      </c>
      <c r="B413" s="337" t="s">
        <v>928</v>
      </c>
      <c r="C413" s="347"/>
      <c r="D413" s="347"/>
      <c r="E413" s="369"/>
      <c r="F413" s="369"/>
      <c r="G413" s="113"/>
      <c r="H413" s="113"/>
      <c r="I413" s="113"/>
      <c r="J413" s="113"/>
      <c r="K413" s="113"/>
      <c r="L413" s="113"/>
      <c r="M413" s="113"/>
      <c r="N413" s="113"/>
      <c r="O413" s="113"/>
      <c r="P413" s="113"/>
      <c r="Q413" s="113"/>
      <c r="R413" s="113"/>
      <c r="S413" s="113"/>
      <c r="T413" s="113">
        <v>4.6399999999999997</v>
      </c>
      <c r="U413" s="113"/>
      <c r="V413" s="113"/>
      <c r="W413" s="113"/>
      <c r="X413" s="113">
        <v>4.6399999999999997</v>
      </c>
      <c r="Y413" s="113">
        <v>0</v>
      </c>
      <c r="Z413" s="113"/>
      <c r="AA413" s="113"/>
      <c r="AB413" s="113"/>
      <c r="AC413" s="113"/>
      <c r="AD413" s="348">
        <f t="shared" si="23"/>
        <v>0</v>
      </c>
      <c r="AE413" s="348"/>
      <c r="AF413" s="348"/>
      <c r="AG413" s="348"/>
      <c r="AH413" s="348">
        <f t="shared" si="24"/>
        <v>0</v>
      </c>
    </row>
    <row r="414" spans="1:34" ht="60">
      <c r="A414" s="347" t="s">
        <v>23</v>
      </c>
      <c r="B414" s="337" t="s">
        <v>929</v>
      </c>
      <c r="C414" s="347" t="s">
        <v>213</v>
      </c>
      <c r="D414" s="347"/>
      <c r="E414" s="369" t="s">
        <v>226</v>
      </c>
      <c r="F414" s="369" t="s">
        <v>930</v>
      </c>
      <c r="G414" s="113">
        <v>32212.451000000001</v>
      </c>
      <c r="H414" s="113"/>
      <c r="I414" s="113">
        <v>32212.451000000001</v>
      </c>
      <c r="J414" s="113"/>
      <c r="K414" s="113"/>
      <c r="L414" s="113">
        <v>28457</v>
      </c>
      <c r="M414" s="113"/>
      <c r="N414" s="113">
        <v>28457</v>
      </c>
      <c r="O414" s="113"/>
      <c r="P414" s="113">
        <v>28833</v>
      </c>
      <c r="Q414" s="113"/>
      <c r="R414" s="113">
        <v>28833</v>
      </c>
      <c r="S414" s="113"/>
      <c r="T414" s="113">
        <v>1224.96</v>
      </c>
      <c r="U414" s="113"/>
      <c r="V414" s="113">
        <v>1224.96</v>
      </c>
      <c r="W414" s="113"/>
      <c r="X414" s="113"/>
      <c r="Y414" s="113">
        <v>1080.8295000000001</v>
      </c>
      <c r="Z414" s="113"/>
      <c r="AA414" s="113">
        <v>1080.8295000000001</v>
      </c>
      <c r="AB414" s="113"/>
      <c r="AC414" s="113"/>
      <c r="AD414" s="348">
        <f t="shared" si="23"/>
        <v>0.88233860697492161</v>
      </c>
      <c r="AE414" s="348"/>
      <c r="AF414" s="348">
        <f t="shared" ref="AF414:AF444" si="25">AA414/V414</f>
        <v>0.88233860697492161</v>
      </c>
      <c r="AG414" s="348"/>
      <c r="AH414" s="348"/>
    </row>
    <row r="415" spans="1:34" ht="75">
      <c r="A415" s="347" t="s">
        <v>23</v>
      </c>
      <c r="B415" s="337" t="s">
        <v>931</v>
      </c>
      <c r="C415" s="347" t="s">
        <v>213</v>
      </c>
      <c r="D415" s="347"/>
      <c r="E415" s="369" t="s">
        <v>864</v>
      </c>
      <c r="F415" s="369" t="s">
        <v>932</v>
      </c>
      <c r="G415" s="113">
        <v>1901.12</v>
      </c>
      <c r="H415" s="113"/>
      <c r="I415" s="113"/>
      <c r="J415" s="113"/>
      <c r="K415" s="113">
        <v>1901.12</v>
      </c>
      <c r="L415" s="113">
        <v>1719</v>
      </c>
      <c r="M415" s="113"/>
      <c r="N415" s="113"/>
      <c r="O415" s="113">
        <v>1719</v>
      </c>
      <c r="P415" s="113">
        <v>1719</v>
      </c>
      <c r="Q415" s="113"/>
      <c r="R415" s="113"/>
      <c r="S415" s="113">
        <v>1719</v>
      </c>
      <c r="T415" s="113">
        <v>0.38</v>
      </c>
      <c r="U415" s="113"/>
      <c r="V415" s="113"/>
      <c r="W415" s="113"/>
      <c r="X415" s="113">
        <v>0.38</v>
      </c>
      <c r="Y415" s="113">
        <v>0.38</v>
      </c>
      <c r="Z415" s="113"/>
      <c r="AA415" s="113"/>
      <c r="AB415" s="113"/>
      <c r="AC415" s="113">
        <v>0.38</v>
      </c>
      <c r="AD415" s="348">
        <f t="shared" si="23"/>
        <v>1</v>
      </c>
      <c r="AE415" s="348"/>
      <c r="AF415" s="348"/>
      <c r="AG415" s="348"/>
      <c r="AH415" s="348">
        <f t="shared" ref="AH415:AH423" si="26">AC415/X415</f>
        <v>1</v>
      </c>
    </row>
    <row r="416" spans="1:34" ht="60">
      <c r="A416" s="347" t="s">
        <v>23</v>
      </c>
      <c r="B416" s="337" t="s">
        <v>933</v>
      </c>
      <c r="C416" s="347" t="s">
        <v>600</v>
      </c>
      <c r="D416" s="347"/>
      <c r="E416" s="369" t="s">
        <v>378</v>
      </c>
      <c r="F416" s="369" t="s">
        <v>934</v>
      </c>
      <c r="G416" s="113">
        <v>7895</v>
      </c>
      <c r="H416" s="113"/>
      <c r="I416" s="113"/>
      <c r="J416" s="113"/>
      <c r="K416" s="113">
        <v>7895</v>
      </c>
      <c r="L416" s="113">
        <v>6723</v>
      </c>
      <c r="M416" s="113"/>
      <c r="N416" s="113"/>
      <c r="O416" s="113">
        <v>6723</v>
      </c>
      <c r="P416" s="113">
        <v>6723</v>
      </c>
      <c r="Q416" s="113"/>
      <c r="R416" s="113"/>
      <c r="S416" s="113">
        <v>6723</v>
      </c>
      <c r="T416" s="113">
        <v>1123.0440000000001</v>
      </c>
      <c r="U416" s="113"/>
      <c r="V416" s="113"/>
      <c r="W416" s="113"/>
      <c r="X416" s="113">
        <v>1123.0440000000001</v>
      </c>
      <c r="Y416" s="113">
        <v>985.44399999999996</v>
      </c>
      <c r="Z416" s="113"/>
      <c r="AA416" s="113"/>
      <c r="AB416" s="113"/>
      <c r="AC416" s="113">
        <v>985.44399999999996</v>
      </c>
      <c r="AD416" s="348">
        <f t="shared" si="23"/>
        <v>0.87747586025124558</v>
      </c>
      <c r="AE416" s="348"/>
      <c r="AF416" s="348"/>
      <c r="AG416" s="348"/>
      <c r="AH416" s="348">
        <f t="shared" si="26"/>
        <v>0.87747586025124558</v>
      </c>
    </row>
    <row r="417" spans="1:34" ht="75">
      <c r="A417" s="347" t="s">
        <v>23</v>
      </c>
      <c r="B417" s="337" t="s">
        <v>935</v>
      </c>
      <c r="C417" s="347" t="s">
        <v>213</v>
      </c>
      <c r="D417" s="347"/>
      <c r="E417" s="369" t="s">
        <v>864</v>
      </c>
      <c r="F417" s="369" t="s">
        <v>936</v>
      </c>
      <c r="G417" s="113">
        <v>10670.57</v>
      </c>
      <c r="H417" s="113"/>
      <c r="I417" s="113">
        <v>5335.2849999999999</v>
      </c>
      <c r="J417" s="113"/>
      <c r="K417" s="113">
        <v>5335.2849999999999</v>
      </c>
      <c r="L417" s="113">
        <v>9561.1919999999991</v>
      </c>
      <c r="M417" s="113"/>
      <c r="N417" s="113">
        <v>4780.5959999999995</v>
      </c>
      <c r="O417" s="113">
        <v>4780.5959999999995</v>
      </c>
      <c r="P417" s="113">
        <v>9561.1919999999991</v>
      </c>
      <c r="Q417" s="113"/>
      <c r="R417" s="113">
        <v>4780.5959999999995</v>
      </c>
      <c r="S417" s="113">
        <v>4780.5959999999995</v>
      </c>
      <c r="T417" s="113">
        <v>172.03</v>
      </c>
      <c r="U417" s="113"/>
      <c r="V417" s="113"/>
      <c r="W417" s="113"/>
      <c r="X417" s="113">
        <v>172.03</v>
      </c>
      <c r="Y417" s="113">
        <v>0</v>
      </c>
      <c r="Z417" s="113"/>
      <c r="AA417" s="113"/>
      <c r="AB417" s="113"/>
      <c r="AC417" s="113"/>
      <c r="AD417" s="348">
        <f t="shared" si="23"/>
        <v>0</v>
      </c>
      <c r="AE417" s="348"/>
      <c r="AF417" s="348"/>
      <c r="AG417" s="348"/>
      <c r="AH417" s="348">
        <f t="shared" si="26"/>
        <v>0</v>
      </c>
    </row>
    <row r="418" spans="1:34" ht="63">
      <c r="A418" s="347" t="s">
        <v>23</v>
      </c>
      <c r="B418" s="337" t="s">
        <v>937</v>
      </c>
      <c r="C418" s="347" t="s">
        <v>427</v>
      </c>
      <c r="D418" s="347"/>
      <c r="E418" s="369" t="s">
        <v>506</v>
      </c>
      <c r="F418" s="369" t="s">
        <v>938</v>
      </c>
      <c r="G418" s="113">
        <v>54880</v>
      </c>
      <c r="H418" s="113"/>
      <c r="I418" s="113"/>
      <c r="J418" s="113"/>
      <c r="K418" s="113">
        <v>54880</v>
      </c>
      <c r="L418" s="113">
        <v>30354</v>
      </c>
      <c r="M418" s="113"/>
      <c r="N418" s="113"/>
      <c r="O418" s="113">
        <v>30354</v>
      </c>
      <c r="P418" s="113">
        <v>28394</v>
      </c>
      <c r="Q418" s="113"/>
      <c r="R418" s="113"/>
      <c r="S418" s="113">
        <v>28394</v>
      </c>
      <c r="T418" s="113">
        <v>1657</v>
      </c>
      <c r="U418" s="113"/>
      <c r="V418" s="113"/>
      <c r="W418" s="113"/>
      <c r="X418" s="113">
        <v>1657</v>
      </c>
      <c r="Y418" s="113">
        <v>1457</v>
      </c>
      <c r="Z418" s="113"/>
      <c r="AA418" s="113"/>
      <c r="AB418" s="113"/>
      <c r="AC418" s="113">
        <v>1457</v>
      </c>
      <c r="AD418" s="348">
        <f t="shared" si="23"/>
        <v>0.87929993964996978</v>
      </c>
      <c r="AE418" s="348"/>
      <c r="AF418" s="348"/>
      <c r="AG418" s="348"/>
      <c r="AH418" s="348">
        <f t="shared" si="26"/>
        <v>0.87929993964996978</v>
      </c>
    </row>
    <row r="419" spans="1:34" ht="75">
      <c r="A419" s="347" t="s">
        <v>23</v>
      </c>
      <c r="B419" s="337" t="s">
        <v>939</v>
      </c>
      <c r="C419" s="347" t="s">
        <v>284</v>
      </c>
      <c r="D419" s="347"/>
      <c r="E419" s="369" t="s">
        <v>239</v>
      </c>
      <c r="F419" s="369" t="s">
        <v>940</v>
      </c>
      <c r="G419" s="113">
        <v>24325</v>
      </c>
      <c r="H419" s="113"/>
      <c r="I419" s="113"/>
      <c r="J419" s="113"/>
      <c r="K419" s="113">
        <v>24325</v>
      </c>
      <c r="L419" s="113">
        <v>17584</v>
      </c>
      <c r="M419" s="113"/>
      <c r="N419" s="113"/>
      <c r="O419" s="113">
        <v>17584</v>
      </c>
      <c r="P419" s="113">
        <v>16500</v>
      </c>
      <c r="Q419" s="113"/>
      <c r="R419" s="113"/>
      <c r="S419" s="113">
        <v>16500</v>
      </c>
      <c r="T419" s="113">
        <v>8050.5349999999999</v>
      </c>
      <c r="U419" s="113"/>
      <c r="V419" s="113"/>
      <c r="W419" s="113"/>
      <c r="X419" s="113">
        <v>8050.5349999999999</v>
      </c>
      <c r="Y419" s="113">
        <v>8050.5349999999999</v>
      </c>
      <c r="Z419" s="113"/>
      <c r="AA419" s="113"/>
      <c r="AB419" s="113"/>
      <c r="AC419" s="113">
        <v>8050.5349999999999</v>
      </c>
      <c r="AD419" s="348">
        <f t="shared" si="23"/>
        <v>1</v>
      </c>
      <c r="AE419" s="348"/>
      <c r="AF419" s="348"/>
      <c r="AG419" s="348"/>
      <c r="AH419" s="348">
        <f t="shared" si="26"/>
        <v>1</v>
      </c>
    </row>
    <row r="420" spans="1:34" ht="75">
      <c r="A420" s="347" t="s">
        <v>23</v>
      </c>
      <c r="B420" s="337" t="s">
        <v>941</v>
      </c>
      <c r="C420" s="347" t="s">
        <v>213</v>
      </c>
      <c r="D420" s="347"/>
      <c r="E420" s="369" t="s">
        <v>644</v>
      </c>
      <c r="F420" s="369" t="s">
        <v>942</v>
      </c>
      <c r="G420" s="113">
        <v>59668</v>
      </c>
      <c r="H420" s="113"/>
      <c r="I420" s="113">
        <v>27524</v>
      </c>
      <c r="J420" s="113"/>
      <c r="K420" s="113">
        <v>32144</v>
      </c>
      <c r="L420" s="113">
        <v>43099</v>
      </c>
      <c r="M420" s="113"/>
      <c r="N420" s="113">
        <v>27524</v>
      </c>
      <c r="O420" s="113">
        <v>15575</v>
      </c>
      <c r="P420" s="113">
        <v>36524</v>
      </c>
      <c r="Q420" s="113"/>
      <c r="R420" s="113">
        <v>27524</v>
      </c>
      <c r="S420" s="113">
        <v>9000</v>
      </c>
      <c r="T420" s="113">
        <v>17948</v>
      </c>
      <c r="U420" s="113"/>
      <c r="V420" s="113">
        <f>5000+3948</f>
        <v>8948</v>
      </c>
      <c r="W420" s="113"/>
      <c r="X420" s="113">
        <f>T420-V420</f>
        <v>9000</v>
      </c>
      <c r="Y420" s="113">
        <v>9470.5499999999993</v>
      </c>
      <c r="Z420" s="113"/>
      <c r="AA420" s="113">
        <v>8544.7970000000005</v>
      </c>
      <c r="AB420" s="113"/>
      <c r="AC420" s="113">
        <v>925.75299999999879</v>
      </c>
      <c r="AD420" s="348">
        <f t="shared" si="23"/>
        <v>0.52766603521283706</v>
      </c>
      <c r="AE420" s="348"/>
      <c r="AF420" s="348">
        <f t="shared" si="25"/>
        <v>0.95493931604827897</v>
      </c>
      <c r="AG420" s="348"/>
      <c r="AH420" s="348">
        <f t="shared" si="26"/>
        <v>0.10286144444444431</v>
      </c>
    </row>
    <row r="421" spans="1:34" ht="75">
      <c r="A421" s="347" t="s">
        <v>23</v>
      </c>
      <c r="B421" s="337" t="s">
        <v>943</v>
      </c>
      <c r="C421" s="347" t="s">
        <v>261</v>
      </c>
      <c r="D421" s="347"/>
      <c r="E421" s="369" t="s">
        <v>218</v>
      </c>
      <c r="F421" s="369" t="s">
        <v>944</v>
      </c>
      <c r="G421" s="113">
        <v>24336.974999999999</v>
      </c>
      <c r="H421" s="113">
        <v>19191.705271999999</v>
      </c>
      <c r="I421" s="113"/>
      <c r="J421" s="113"/>
      <c r="K421" s="113">
        <f>G421-H421</f>
        <v>5145.2697279999993</v>
      </c>
      <c r="L421" s="113">
        <v>7159</v>
      </c>
      <c r="M421" s="113">
        <v>6961</v>
      </c>
      <c r="N421" s="113"/>
      <c r="O421" s="113">
        <v>198</v>
      </c>
      <c r="P421" s="113">
        <v>6396</v>
      </c>
      <c r="Q421" s="113">
        <v>6000</v>
      </c>
      <c r="R421" s="113"/>
      <c r="S421" s="113">
        <v>396</v>
      </c>
      <c r="T421" s="113">
        <v>6211.9930000000004</v>
      </c>
      <c r="U421" s="113">
        <v>6000</v>
      </c>
      <c r="V421" s="113"/>
      <c r="W421" s="113"/>
      <c r="X421" s="113">
        <f>T421-U421</f>
        <v>211.99300000000039</v>
      </c>
      <c r="Y421" s="113">
        <v>5309.9984999999997</v>
      </c>
      <c r="Z421" s="113">
        <v>5309.9984999999997</v>
      </c>
      <c r="AA421" s="113"/>
      <c r="AB421" s="113"/>
      <c r="AC421" s="113"/>
      <c r="AD421" s="348">
        <f t="shared" si="23"/>
        <v>0.85479788853593353</v>
      </c>
      <c r="AE421" s="348">
        <f t="shared" si="23"/>
        <v>0.88499974999999997</v>
      </c>
      <c r="AF421" s="348"/>
      <c r="AG421" s="348"/>
      <c r="AH421" s="348">
        <f t="shared" si="26"/>
        <v>0</v>
      </c>
    </row>
    <row r="422" spans="1:34" ht="75">
      <c r="A422" s="347" t="s">
        <v>23</v>
      </c>
      <c r="B422" s="337" t="s">
        <v>945</v>
      </c>
      <c r="C422" s="347" t="s">
        <v>284</v>
      </c>
      <c r="D422" s="347"/>
      <c r="E422" s="369" t="s">
        <v>218</v>
      </c>
      <c r="F422" s="369" t="s">
        <v>946</v>
      </c>
      <c r="G422" s="113">
        <v>9632.9911780000002</v>
      </c>
      <c r="H422" s="113">
        <v>8226.7321780000002</v>
      </c>
      <c r="I422" s="113"/>
      <c r="J422" s="113"/>
      <c r="K422" s="113">
        <f>G422-H422</f>
        <v>1406.259</v>
      </c>
      <c r="L422" s="113">
        <v>6759</v>
      </c>
      <c r="M422" s="113">
        <v>6383</v>
      </c>
      <c r="N422" s="113"/>
      <c r="O422" s="113">
        <v>376</v>
      </c>
      <c r="P422" s="113">
        <v>6529</v>
      </c>
      <c r="Q422" s="113">
        <v>6164</v>
      </c>
      <c r="R422" s="113"/>
      <c r="S422" s="113">
        <v>364</v>
      </c>
      <c r="T422" s="113">
        <v>4199.0860000000002</v>
      </c>
      <c r="U422" s="113">
        <v>4000</v>
      </c>
      <c r="V422" s="113"/>
      <c r="W422" s="113"/>
      <c r="X422" s="113">
        <f>T422-U422</f>
        <v>199.08600000000024</v>
      </c>
      <c r="Y422" s="113">
        <v>2961.9870000000001</v>
      </c>
      <c r="Z422" s="113">
        <v>2891.28</v>
      </c>
      <c r="AA422" s="113"/>
      <c r="AB422" s="113"/>
      <c r="AC422" s="113">
        <v>70.70699999999988</v>
      </c>
      <c r="AD422" s="348">
        <f t="shared" si="23"/>
        <v>0.70538850597487168</v>
      </c>
      <c r="AE422" s="348">
        <f t="shared" si="23"/>
        <v>0.72282000000000002</v>
      </c>
      <c r="AF422" s="348"/>
      <c r="AG422" s="348"/>
      <c r="AH422" s="348">
        <f t="shared" si="26"/>
        <v>0.35515807239082503</v>
      </c>
    </row>
    <row r="423" spans="1:34" ht="60">
      <c r="A423" s="347" t="s">
        <v>23</v>
      </c>
      <c r="B423" s="337" t="s">
        <v>947</v>
      </c>
      <c r="C423" s="347" t="s">
        <v>213</v>
      </c>
      <c r="D423" s="347"/>
      <c r="E423" s="369" t="s">
        <v>218</v>
      </c>
      <c r="F423" s="369" t="s">
        <v>948</v>
      </c>
      <c r="G423" s="113">
        <v>17582.655999999999</v>
      </c>
      <c r="H423" s="113">
        <v>15269.889585000001</v>
      </c>
      <c r="I423" s="113"/>
      <c r="J423" s="113"/>
      <c r="K423" s="113">
        <f>G423-H423</f>
        <v>2312.7664149999982</v>
      </c>
      <c r="L423" s="113">
        <v>11901</v>
      </c>
      <c r="M423" s="113">
        <v>11642</v>
      </c>
      <c r="N423" s="113"/>
      <c r="O423" s="113">
        <v>260</v>
      </c>
      <c r="P423" s="113">
        <v>9515</v>
      </c>
      <c r="Q423" s="113">
        <v>9000</v>
      </c>
      <c r="R423" s="113"/>
      <c r="S423" s="113">
        <v>515</v>
      </c>
      <c r="T423" s="113">
        <v>9276.2039999999997</v>
      </c>
      <c r="U423" s="113">
        <v>9000</v>
      </c>
      <c r="V423" s="113"/>
      <c r="W423" s="113"/>
      <c r="X423" s="113">
        <f>T423-U423</f>
        <v>276.20399999999972</v>
      </c>
      <c r="Y423" s="113">
        <v>8634.6689999999999</v>
      </c>
      <c r="Z423" s="113">
        <v>8634.6689999999999</v>
      </c>
      <c r="AA423" s="113"/>
      <c r="AB423" s="113"/>
      <c r="AC423" s="113"/>
      <c r="AD423" s="348">
        <f t="shared" si="23"/>
        <v>0.93084078357914513</v>
      </c>
      <c r="AE423" s="348">
        <f t="shared" si="23"/>
        <v>0.95940766666666666</v>
      </c>
      <c r="AF423" s="348"/>
      <c r="AG423" s="348"/>
      <c r="AH423" s="348">
        <f t="shared" si="26"/>
        <v>0</v>
      </c>
    </row>
    <row r="424" spans="1:34" ht="75">
      <c r="A424" s="347" t="s">
        <v>23</v>
      </c>
      <c r="B424" s="337" t="s">
        <v>949</v>
      </c>
      <c r="C424" s="347" t="s">
        <v>213</v>
      </c>
      <c r="D424" s="347"/>
      <c r="E424" s="369" t="s">
        <v>239</v>
      </c>
      <c r="F424" s="369" t="s">
        <v>950</v>
      </c>
      <c r="G424" s="113">
        <v>9633.11</v>
      </c>
      <c r="H424" s="113"/>
      <c r="I424" s="113">
        <v>9633.11</v>
      </c>
      <c r="J424" s="113"/>
      <c r="K424" s="113">
        <v>8665</v>
      </c>
      <c r="L424" s="113"/>
      <c r="M424" s="113"/>
      <c r="N424" s="113">
        <v>8665</v>
      </c>
      <c r="O424" s="113"/>
      <c r="P424" s="113">
        <v>8665</v>
      </c>
      <c r="Q424" s="113"/>
      <c r="R424" s="113">
        <v>8665</v>
      </c>
      <c r="S424" s="113"/>
      <c r="T424" s="113">
        <v>6035.47</v>
      </c>
      <c r="U424" s="113"/>
      <c r="V424" s="113">
        <v>6035.47</v>
      </c>
      <c r="W424" s="113"/>
      <c r="X424" s="113"/>
      <c r="Y424" s="113">
        <f>AA424</f>
        <v>5852.6184999999996</v>
      </c>
      <c r="Z424" s="113"/>
      <c r="AA424" s="113">
        <v>5852.6184999999996</v>
      </c>
      <c r="AB424" s="113"/>
      <c r="AC424" s="113"/>
      <c r="AD424" s="348">
        <f t="shared" si="23"/>
        <v>0.96970385073573384</v>
      </c>
      <c r="AE424" s="348"/>
      <c r="AF424" s="348">
        <f t="shared" si="25"/>
        <v>0.96970385073573384</v>
      </c>
      <c r="AG424" s="348"/>
      <c r="AH424" s="348"/>
    </row>
    <row r="425" spans="1:34" ht="78.75">
      <c r="A425" s="347" t="s">
        <v>23</v>
      </c>
      <c r="B425" s="337" t="s">
        <v>951</v>
      </c>
      <c r="C425" s="347" t="s">
        <v>284</v>
      </c>
      <c r="D425" s="347"/>
      <c r="E425" s="369" t="s">
        <v>239</v>
      </c>
      <c r="F425" s="369" t="s">
        <v>952</v>
      </c>
      <c r="G425" s="113">
        <v>13685</v>
      </c>
      <c r="H425" s="113"/>
      <c r="I425" s="113"/>
      <c r="J425" s="113"/>
      <c r="K425" s="113">
        <v>13685</v>
      </c>
      <c r="L425" s="113">
        <v>9778</v>
      </c>
      <c r="M425" s="113"/>
      <c r="N425" s="113"/>
      <c r="O425" s="113">
        <v>9778</v>
      </c>
      <c r="P425" s="113">
        <v>8800</v>
      </c>
      <c r="Q425" s="113"/>
      <c r="R425" s="113"/>
      <c r="S425" s="113">
        <v>8800</v>
      </c>
      <c r="T425" s="113">
        <v>1923.9090000000001</v>
      </c>
      <c r="U425" s="113"/>
      <c r="V425" s="113"/>
      <c r="W425" s="113"/>
      <c r="X425" s="113">
        <v>1923.9090000000001</v>
      </c>
      <c r="Y425" s="113">
        <v>1791.557</v>
      </c>
      <c r="Z425" s="113"/>
      <c r="AA425" s="113"/>
      <c r="AB425" s="113"/>
      <c r="AC425" s="113">
        <v>1791.557</v>
      </c>
      <c r="AD425" s="348">
        <f t="shared" si="23"/>
        <v>0.93120672547402183</v>
      </c>
      <c r="AE425" s="348"/>
      <c r="AF425" s="348"/>
      <c r="AG425" s="348"/>
      <c r="AH425" s="348">
        <f t="shared" ref="AH425:AH438" si="27">AC425/X425</f>
        <v>0.93120672547402183</v>
      </c>
    </row>
    <row r="426" spans="1:34" ht="94.5">
      <c r="A426" s="347" t="s">
        <v>23</v>
      </c>
      <c r="B426" s="337" t="s">
        <v>953</v>
      </c>
      <c r="C426" s="347" t="s">
        <v>309</v>
      </c>
      <c r="D426" s="347"/>
      <c r="E426" s="369" t="s">
        <v>378</v>
      </c>
      <c r="F426" s="369" t="s">
        <v>954</v>
      </c>
      <c r="G426" s="113">
        <v>5443</v>
      </c>
      <c r="H426" s="113"/>
      <c r="I426" s="113"/>
      <c r="J426" s="113"/>
      <c r="K426" s="113">
        <v>5443</v>
      </c>
      <c r="L426" s="113">
        <v>4674</v>
      </c>
      <c r="M426" s="113"/>
      <c r="N426" s="113"/>
      <c r="O426" s="113">
        <v>4674</v>
      </c>
      <c r="P426" s="113">
        <v>4400</v>
      </c>
      <c r="Q426" s="113"/>
      <c r="R426" s="113"/>
      <c r="S426" s="113">
        <v>4400</v>
      </c>
      <c r="T426" s="113">
        <v>500</v>
      </c>
      <c r="U426" s="113"/>
      <c r="V426" s="113"/>
      <c r="W426" s="113"/>
      <c r="X426" s="113">
        <v>500</v>
      </c>
      <c r="Y426" s="113">
        <v>450</v>
      </c>
      <c r="Z426" s="113"/>
      <c r="AA426" s="113"/>
      <c r="AB426" s="113"/>
      <c r="AC426" s="113">
        <v>450</v>
      </c>
      <c r="AD426" s="348">
        <f t="shared" si="23"/>
        <v>0.9</v>
      </c>
      <c r="AE426" s="348"/>
      <c r="AF426" s="348"/>
      <c r="AG426" s="348"/>
      <c r="AH426" s="348">
        <f t="shared" si="27"/>
        <v>0.9</v>
      </c>
    </row>
    <row r="427" spans="1:34" ht="60">
      <c r="A427" s="347" t="s">
        <v>23</v>
      </c>
      <c r="B427" s="337" t="s">
        <v>955</v>
      </c>
      <c r="C427" s="347" t="s">
        <v>213</v>
      </c>
      <c r="D427" s="347"/>
      <c r="E427" s="369" t="s">
        <v>956</v>
      </c>
      <c r="F427" s="369" t="s">
        <v>957</v>
      </c>
      <c r="G427" s="113">
        <v>142000</v>
      </c>
      <c r="H427" s="113"/>
      <c r="I427" s="113">
        <v>142000</v>
      </c>
      <c r="J427" s="113"/>
      <c r="K427" s="113"/>
      <c r="L427" s="113">
        <v>11968</v>
      </c>
      <c r="M427" s="113"/>
      <c r="N427" s="113"/>
      <c r="O427" s="113">
        <v>11968</v>
      </c>
      <c r="P427" s="113">
        <v>10000</v>
      </c>
      <c r="Q427" s="113"/>
      <c r="R427" s="113"/>
      <c r="S427" s="113">
        <v>10000</v>
      </c>
      <c r="T427" s="113">
        <v>4210.51</v>
      </c>
      <c r="U427" s="113"/>
      <c r="V427" s="113"/>
      <c r="W427" s="113"/>
      <c r="X427" s="113">
        <v>4210.51</v>
      </c>
      <c r="Y427" s="113">
        <v>4202.01</v>
      </c>
      <c r="Z427" s="113"/>
      <c r="AA427" s="113"/>
      <c r="AB427" s="113"/>
      <c r="AC427" s="113">
        <v>4202.01</v>
      </c>
      <c r="AD427" s="348">
        <f t="shared" si="23"/>
        <v>0.99798124217731343</v>
      </c>
      <c r="AE427" s="348"/>
      <c r="AF427" s="348"/>
      <c r="AG427" s="348"/>
      <c r="AH427" s="348">
        <f t="shared" si="27"/>
        <v>0.99798124217731343</v>
      </c>
    </row>
    <row r="428" spans="1:34" ht="60">
      <c r="A428" s="347" t="s">
        <v>23</v>
      </c>
      <c r="B428" s="337" t="s">
        <v>958</v>
      </c>
      <c r="C428" s="347" t="s">
        <v>309</v>
      </c>
      <c r="D428" s="347"/>
      <c r="E428" s="369" t="s">
        <v>236</v>
      </c>
      <c r="F428" s="369" t="s">
        <v>959</v>
      </c>
      <c r="G428" s="113">
        <v>29396</v>
      </c>
      <c r="H428" s="113"/>
      <c r="I428" s="113">
        <v>10484</v>
      </c>
      <c r="J428" s="113"/>
      <c r="K428" s="113">
        <f>G428-I428</f>
        <v>18912</v>
      </c>
      <c r="L428" s="113">
        <v>18400</v>
      </c>
      <c r="M428" s="113"/>
      <c r="N428" s="113">
        <v>10484</v>
      </c>
      <c r="O428" s="113">
        <v>7916</v>
      </c>
      <c r="P428" s="113">
        <v>16638</v>
      </c>
      <c r="Q428" s="113"/>
      <c r="R428" s="113">
        <v>10484</v>
      </c>
      <c r="S428" s="113">
        <v>6154</v>
      </c>
      <c r="T428" s="113">
        <v>9234.1628440000004</v>
      </c>
      <c r="U428" s="113"/>
      <c r="V428" s="113">
        <v>5951.2505000000001</v>
      </c>
      <c r="W428" s="113"/>
      <c r="X428" s="113">
        <f>T428-V428</f>
        <v>3282.9123440000003</v>
      </c>
      <c r="Y428" s="113">
        <v>8678.4365379999999</v>
      </c>
      <c r="Z428" s="113"/>
      <c r="AA428" s="113">
        <v>5951.2505000000001</v>
      </c>
      <c r="AB428" s="113"/>
      <c r="AC428" s="113">
        <v>2727.1860379999998</v>
      </c>
      <c r="AD428" s="348">
        <f t="shared" si="23"/>
        <v>0.93981844208421239</v>
      </c>
      <c r="AE428" s="348"/>
      <c r="AF428" s="348">
        <f t="shared" si="25"/>
        <v>1</v>
      </c>
      <c r="AG428" s="348"/>
      <c r="AH428" s="348">
        <f t="shared" si="27"/>
        <v>0.83072155215606924</v>
      </c>
    </row>
    <row r="429" spans="1:34" ht="75">
      <c r="A429" s="347" t="s">
        <v>23</v>
      </c>
      <c r="B429" s="337" t="s">
        <v>960</v>
      </c>
      <c r="C429" s="347" t="s">
        <v>298</v>
      </c>
      <c r="D429" s="347"/>
      <c r="E429" s="369" t="s">
        <v>378</v>
      </c>
      <c r="F429" s="369" t="s">
        <v>961</v>
      </c>
      <c r="G429" s="113">
        <v>4978</v>
      </c>
      <c r="H429" s="113"/>
      <c r="I429" s="113"/>
      <c r="J429" s="113"/>
      <c r="K429" s="113">
        <v>4978</v>
      </c>
      <c r="L429" s="113">
        <v>4951</v>
      </c>
      <c r="M429" s="113"/>
      <c r="N429" s="113"/>
      <c r="O429" s="113">
        <v>4951</v>
      </c>
      <c r="P429" s="113">
        <v>3900</v>
      </c>
      <c r="Q429" s="113"/>
      <c r="R429" s="113"/>
      <c r="S429" s="113">
        <v>3900</v>
      </c>
      <c r="T429" s="113">
        <v>600</v>
      </c>
      <c r="U429" s="113"/>
      <c r="V429" s="113"/>
      <c r="W429" s="113"/>
      <c r="X429" s="113">
        <v>600</v>
      </c>
      <c r="Y429" s="113">
        <v>600</v>
      </c>
      <c r="Z429" s="113"/>
      <c r="AA429" s="113"/>
      <c r="AB429" s="113"/>
      <c r="AC429" s="113">
        <v>600</v>
      </c>
      <c r="AD429" s="348">
        <f t="shared" si="23"/>
        <v>1</v>
      </c>
      <c r="AE429" s="348"/>
      <c r="AF429" s="348"/>
      <c r="AG429" s="348"/>
      <c r="AH429" s="348">
        <f t="shared" si="27"/>
        <v>1</v>
      </c>
    </row>
    <row r="430" spans="1:34" ht="75">
      <c r="A430" s="347" t="s">
        <v>23</v>
      </c>
      <c r="B430" s="337" t="s">
        <v>962</v>
      </c>
      <c r="C430" s="347" t="s">
        <v>287</v>
      </c>
      <c r="D430" s="347"/>
      <c r="E430" s="369" t="s">
        <v>378</v>
      </c>
      <c r="F430" s="369" t="s">
        <v>963</v>
      </c>
      <c r="G430" s="113">
        <v>5094</v>
      </c>
      <c r="H430" s="113"/>
      <c r="I430" s="113"/>
      <c r="J430" s="113"/>
      <c r="K430" s="113">
        <v>5094</v>
      </c>
      <c r="L430" s="113">
        <v>4519</v>
      </c>
      <c r="M430" s="113"/>
      <c r="N430" s="113"/>
      <c r="O430" s="113">
        <v>4519</v>
      </c>
      <c r="P430" s="113">
        <v>3600</v>
      </c>
      <c r="Q430" s="113"/>
      <c r="R430" s="113"/>
      <c r="S430" s="113">
        <v>3600</v>
      </c>
      <c r="T430" s="113">
        <v>200</v>
      </c>
      <c r="U430" s="113"/>
      <c r="V430" s="113"/>
      <c r="W430" s="113"/>
      <c r="X430" s="113">
        <v>200</v>
      </c>
      <c r="Y430" s="113">
        <v>120</v>
      </c>
      <c r="Z430" s="113"/>
      <c r="AA430" s="113"/>
      <c r="AB430" s="113"/>
      <c r="AC430" s="113">
        <v>120</v>
      </c>
      <c r="AD430" s="348">
        <f t="shared" si="23"/>
        <v>0.6</v>
      </c>
      <c r="AE430" s="348"/>
      <c r="AF430" s="348"/>
      <c r="AG430" s="348"/>
      <c r="AH430" s="348">
        <f t="shared" si="27"/>
        <v>0.6</v>
      </c>
    </row>
    <row r="431" spans="1:34" ht="75">
      <c r="A431" s="347" t="s">
        <v>23</v>
      </c>
      <c r="B431" s="337" t="s">
        <v>964</v>
      </c>
      <c r="C431" s="347" t="s">
        <v>351</v>
      </c>
      <c r="D431" s="347"/>
      <c r="E431" s="369" t="s">
        <v>378</v>
      </c>
      <c r="F431" s="369" t="s">
        <v>965</v>
      </c>
      <c r="G431" s="113">
        <v>5542</v>
      </c>
      <c r="H431" s="113"/>
      <c r="I431" s="113"/>
      <c r="J431" s="113"/>
      <c r="K431" s="113">
        <v>5542</v>
      </c>
      <c r="L431" s="113">
        <v>4695</v>
      </c>
      <c r="M431" s="113"/>
      <c r="N431" s="113"/>
      <c r="O431" s="113">
        <v>4695</v>
      </c>
      <c r="P431" s="113">
        <v>4695</v>
      </c>
      <c r="Q431" s="113"/>
      <c r="R431" s="113"/>
      <c r="S431" s="113">
        <v>4695</v>
      </c>
      <c r="T431" s="113">
        <v>695.03700000000003</v>
      </c>
      <c r="U431" s="113"/>
      <c r="V431" s="113"/>
      <c r="W431" s="113"/>
      <c r="X431" s="113">
        <v>695.03700000000003</v>
      </c>
      <c r="Y431" s="113">
        <v>599.11500000000001</v>
      </c>
      <c r="Z431" s="113"/>
      <c r="AA431" s="113"/>
      <c r="AB431" s="113"/>
      <c r="AC431" s="113">
        <v>599.11500000000001</v>
      </c>
      <c r="AD431" s="348">
        <f t="shared" si="23"/>
        <v>0.86199008110359587</v>
      </c>
      <c r="AE431" s="348"/>
      <c r="AF431" s="348"/>
      <c r="AG431" s="348"/>
      <c r="AH431" s="348">
        <f t="shared" si="27"/>
        <v>0.86199008110359587</v>
      </c>
    </row>
    <row r="432" spans="1:34" ht="94.5">
      <c r="A432" s="347" t="s">
        <v>23</v>
      </c>
      <c r="B432" s="337" t="s">
        <v>966</v>
      </c>
      <c r="C432" s="347" t="s">
        <v>261</v>
      </c>
      <c r="D432" s="347"/>
      <c r="E432" s="369" t="s">
        <v>236</v>
      </c>
      <c r="F432" s="369" t="s">
        <v>967</v>
      </c>
      <c r="G432" s="113">
        <v>49639.178</v>
      </c>
      <c r="H432" s="113"/>
      <c r="I432" s="113"/>
      <c r="J432" s="113"/>
      <c r="K432" s="113">
        <v>49639.178</v>
      </c>
      <c r="L432" s="113">
        <v>30475</v>
      </c>
      <c r="M432" s="113"/>
      <c r="N432" s="113"/>
      <c r="O432" s="113">
        <v>30475</v>
      </c>
      <c r="P432" s="113">
        <v>24833</v>
      </c>
      <c r="Q432" s="113"/>
      <c r="R432" s="113"/>
      <c r="S432" s="113">
        <v>24833</v>
      </c>
      <c r="T432" s="113">
        <v>15453</v>
      </c>
      <c r="U432" s="113"/>
      <c r="V432" s="113"/>
      <c r="W432" s="113"/>
      <c r="X432" s="113">
        <v>15453</v>
      </c>
      <c r="Y432" s="113">
        <v>15453</v>
      </c>
      <c r="Z432" s="113"/>
      <c r="AA432" s="113"/>
      <c r="AB432" s="113"/>
      <c r="AC432" s="113">
        <v>15453</v>
      </c>
      <c r="AD432" s="348">
        <f t="shared" si="23"/>
        <v>1</v>
      </c>
      <c r="AE432" s="348"/>
      <c r="AF432" s="348"/>
      <c r="AG432" s="348"/>
      <c r="AH432" s="348">
        <f t="shared" si="27"/>
        <v>1</v>
      </c>
    </row>
    <row r="433" spans="1:34" ht="75">
      <c r="A433" s="347" t="s">
        <v>23</v>
      </c>
      <c r="B433" s="337" t="s">
        <v>968</v>
      </c>
      <c r="C433" s="347" t="s">
        <v>213</v>
      </c>
      <c r="D433" s="347"/>
      <c r="E433" s="369" t="s">
        <v>378</v>
      </c>
      <c r="F433" s="369" t="s">
        <v>969</v>
      </c>
      <c r="G433" s="113">
        <v>5366</v>
      </c>
      <c r="H433" s="113"/>
      <c r="I433" s="113"/>
      <c r="J433" s="113"/>
      <c r="K433" s="113">
        <v>5366</v>
      </c>
      <c r="L433" s="113">
        <v>4956</v>
      </c>
      <c r="M433" s="113"/>
      <c r="N433" s="113"/>
      <c r="O433" s="113">
        <v>4956</v>
      </c>
      <c r="P433" s="113">
        <v>4000</v>
      </c>
      <c r="Q433" s="113"/>
      <c r="R433" s="113"/>
      <c r="S433" s="113">
        <v>4000</v>
      </c>
      <c r="T433" s="113">
        <v>200</v>
      </c>
      <c r="U433" s="113"/>
      <c r="V433" s="113"/>
      <c r="W433" s="113"/>
      <c r="X433" s="113">
        <v>200</v>
      </c>
      <c r="Y433" s="113">
        <v>200</v>
      </c>
      <c r="Z433" s="113"/>
      <c r="AA433" s="113"/>
      <c r="AB433" s="113"/>
      <c r="AC433" s="113">
        <v>200</v>
      </c>
      <c r="AD433" s="348">
        <f t="shared" si="23"/>
        <v>1</v>
      </c>
      <c r="AE433" s="348"/>
      <c r="AF433" s="348"/>
      <c r="AG433" s="348"/>
      <c r="AH433" s="348">
        <f t="shared" si="27"/>
        <v>1</v>
      </c>
    </row>
    <row r="434" spans="1:34" ht="75">
      <c r="A434" s="347" t="s">
        <v>23</v>
      </c>
      <c r="B434" s="337" t="s">
        <v>970</v>
      </c>
      <c r="C434" s="347" t="s">
        <v>351</v>
      </c>
      <c r="D434" s="347"/>
      <c r="E434" s="369" t="s">
        <v>218</v>
      </c>
      <c r="F434" s="369" t="s">
        <v>971</v>
      </c>
      <c r="G434" s="113">
        <v>6463.8432419999999</v>
      </c>
      <c r="H434" s="113">
        <v>5502.4802419999996</v>
      </c>
      <c r="I434" s="113"/>
      <c r="J434" s="113"/>
      <c r="K434" s="113">
        <v>961</v>
      </c>
      <c r="L434" s="113">
        <v>3616</v>
      </c>
      <c r="M434" s="113">
        <v>3346</v>
      </c>
      <c r="N434" s="113"/>
      <c r="O434" s="113">
        <v>270</v>
      </c>
      <c r="P434" s="113">
        <v>3850</v>
      </c>
      <c r="Q434" s="113">
        <v>3596</v>
      </c>
      <c r="R434" s="113"/>
      <c r="S434" s="113">
        <v>254</v>
      </c>
      <c r="T434" s="113">
        <v>2367.4699999999998</v>
      </c>
      <c r="U434" s="113">
        <v>2250</v>
      </c>
      <c r="V434" s="113"/>
      <c r="W434" s="113"/>
      <c r="X434" s="113">
        <f>T434-U434</f>
        <v>117.4699999999998</v>
      </c>
      <c r="Y434" s="113">
        <v>1838.31</v>
      </c>
      <c r="Z434" s="113">
        <v>1800.4449999999999</v>
      </c>
      <c r="AA434" s="113"/>
      <c r="AB434" s="113"/>
      <c r="AC434" s="113">
        <v>37.865000000000009</v>
      </c>
      <c r="AD434" s="348">
        <f t="shared" si="23"/>
        <v>0.77648713605663433</v>
      </c>
      <c r="AE434" s="348">
        <f t="shared" si="23"/>
        <v>0.80019777777777779</v>
      </c>
      <c r="AF434" s="348"/>
      <c r="AG434" s="348"/>
      <c r="AH434" s="348">
        <f t="shared" si="27"/>
        <v>0.32233761811526412</v>
      </c>
    </row>
    <row r="435" spans="1:34" ht="75">
      <c r="A435" s="347" t="s">
        <v>23</v>
      </c>
      <c r="B435" s="337" t="s">
        <v>972</v>
      </c>
      <c r="C435" s="347" t="s">
        <v>261</v>
      </c>
      <c r="D435" s="347" t="s">
        <v>973</v>
      </c>
      <c r="E435" s="369" t="s">
        <v>974</v>
      </c>
      <c r="F435" s="369" t="s">
        <v>975</v>
      </c>
      <c r="G435" s="113">
        <v>1203.42</v>
      </c>
      <c r="H435" s="113"/>
      <c r="I435" s="113"/>
      <c r="J435" s="113"/>
      <c r="K435" s="113">
        <v>1203.42</v>
      </c>
      <c r="L435" s="113">
        <v>1019.931</v>
      </c>
      <c r="M435" s="113"/>
      <c r="N435" s="113"/>
      <c r="O435" s="113">
        <v>1019.931</v>
      </c>
      <c r="P435" s="113">
        <v>1019.931</v>
      </c>
      <c r="Q435" s="113"/>
      <c r="R435" s="113"/>
      <c r="S435" s="113">
        <v>1019.931</v>
      </c>
      <c r="T435" s="113">
        <v>0.41399999999999998</v>
      </c>
      <c r="U435" s="113"/>
      <c r="V435" s="113"/>
      <c r="W435" s="113"/>
      <c r="X435" s="113">
        <v>0.41399999999999998</v>
      </c>
      <c r="Y435" s="113">
        <v>0</v>
      </c>
      <c r="Z435" s="113"/>
      <c r="AA435" s="113"/>
      <c r="AB435" s="113"/>
      <c r="AC435" s="113"/>
      <c r="AD435" s="348">
        <f t="shared" si="23"/>
        <v>0</v>
      </c>
      <c r="AE435" s="348"/>
      <c r="AF435" s="348"/>
      <c r="AG435" s="348"/>
      <c r="AH435" s="348">
        <f t="shared" si="27"/>
        <v>0</v>
      </c>
    </row>
    <row r="436" spans="1:34" ht="75">
      <c r="A436" s="347" t="s">
        <v>23</v>
      </c>
      <c r="B436" s="337" t="s">
        <v>976</v>
      </c>
      <c r="C436" s="347" t="s">
        <v>251</v>
      </c>
      <c r="D436" s="347"/>
      <c r="E436" s="369" t="s">
        <v>218</v>
      </c>
      <c r="F436" s="369" t="s">
        <v>977</v>
      </c>
      <c r="G436" s="113">
        <v>6080.5815299999995</v>
      </c>
      <c r="H436" s="113">
        <v>5185.5025299999998</v>
      </c>
      <c r="I436" s="113"/>
      <c r="J436" s="113"/>
      <c r="K436" s="113">
        <v>895</v>
      </c>
      <c r="L436" s="113">
        <v>3458</v>
      </c>
      <c r="M436" s="113">
        <v>3210</v>
      </c>
      <c r="N436" s="113"/>
      <c r="O436" s="113">
        <v>248</v>
      </c>
      <c r="P436" s="113">
        <v>3689</v>
      </c>
      <c r="Q436" s="113">
        <v>3442</v>
      </c>
      <c r="R436" s="113"/>
      <c r="S436" s="113">
        <v>247</v>
      </c>
      <c r="T436" s="113">
        <v>2358.7269999999999</v>
      </c>
      <c r="U436" s="113">
        <v>2250</v>
      </c>
      <c r="V436" s="113"/>
      <c r="W436" s="113"/>
      <c r="X436" s="113">
        <f>T436-U436</f>
        <v>108.72699999999986</v>
      </c>
      <c r="Y436" s="113">
        <v>1629.7139</v>
      </c>
      <c r="Z436" s="113">
        <v>1593.9139</v>
      </c>
      <c r="AA436" s="113"/>
      <c r="AB436" s="113"/>
      <c r="AC436" s="113">
        <v>35.799999999999955</v>
      </c>
      <c r="AD436" s="348">
        <f t="shared" si="23"/>
        <v>0.69092942930657086</v>
      </c>
      <c r="AE436" s="348">
        <f t="shared" si="23"/>
        <v>0.70840617777777781</v>
      </c>
      <c r="AF436" s="348"/>
      <c r="AG436" s="348"/>
      <c r="AH436" s="348">
        <f t="shared" si="27"/>
        <v>0.3292650399624748</v>
      </c>
    </row>
    <row r="437" spans="1:34" ht="75">
      <c r="A437" s="347" t="s">
        <v>23</v>
      </c>
      <c r="B437" s="337" t="s">
        <v>978</v>
      </c>
      <c r="C437" s="347" t="s">
        <v>217</v>
      </c>
      <c r="D437" s="347"/>
      <c r="E437" s="369" t="s">
        <v>218</v>
      </c>
      <c r="F437" s="369" t="s">
        <v>979</v>
      </c>
      <c r="G437" s="113">
        <v>8289.0889999999999</v>
      </c>
      <c r="H437" s="113">
        <v>7042.5559919999996</v>
      </c>
      <c r="I437" s="113"/>
      <c r="J437" s="113"/>
      <c r="K437" s="113">
        <v>1247</v>
      </c>
      <c r="L437" s="113">
        <v>5528</v>
      </c>
      <c r="M437" s="113">
        <v>5173</v>
      </c>
      <c r="N437" s="113"/>
      <c r="O437" s="113">
        <v>355</v>
      </c>
      <c r="P437" s="113">
        <v>5164</v>
      </c>
      <c r="Q437" s="113">
        <v>4827</v>
      </c>
      <c r="R437" s="113"/>
      <c r="S437" s="113">
        <v>337</v>
      </c>
      <c r="T437" s="113">
        <v>3118.7</v>
      </c>
      <c r="U437" s="113">
        <v>3000</v>
      </c>
      <c r="V437" s="113"/>
      <c r="W437" s="113"/>
      <c r="X437" s="113">
        <f>T437-U437</f>
        <v>118.69999999999982</v>
      </c>
      <c r="Y437" s="113">
        <v>2507.1010000000001</v>
      </c>
      <c r="Z437" s="113">
        <v>2442.201</v>
      </c>
      <c r="AA437" s="113"/>
      <c r="AB437" s="113"/>
      <c r="AC437" s="113">
        <v>64.900000000000091</v>
      </c>
      <c r="AD437" s="348">
        <f t="shared" si="23"/>
        <v>0.80389296822393952</v>
      </c>
      <c r="AE437" s="348">
        <f t="shared" si="23"/>
        <v>0.81406699999999999</v>
      </c>
      <c r="AF437" s="348"/>
      <c r="AG437" s="348"/>
      <c r="AH437" s="348">
        <f t="shared" si="27"/>
        <v>0.54675652906487104</v>
      </c>
    </row>
    <row r="438" spans="1:34" ht="75">
      <c r="A438" s="347" t="s">
        <v>23</v>
      </c>
      <c r="B438" s="337" t="s">
        <v>980</v>
      </c>
      <c r="C438" s="347" t="s">
        <v>600</v>
      </c>
      <c r="D438" s="347"/>
      <c r="E438" s="369" t="s">
        <v>218</v>
      </c>
      <c r="F438" s="369" t="s">
        <v>981</v>
      </c>
      <c r="G438" s="113">
        <v>7829.6855329999999</v>
      </c>
      <c r="H438" s="113">
        <v>6664.498533</v>
      </c>
      <c r="I438" s="113"/>
      <c r="J438" s="113"/>
      <c r="K438" s="113">
        <v>1165</v>
      </c>
      <c r="L438" s="113">
        <v>5092</v>
      </c>
      <c r="M438" s="113">
        <v>4770</v>
      </c>
      <c r="N438" s="113"/>
      <c r="O438" s="113">
        <v>322</v>
      </c>
      <c r="P438" s="113">
        <v>4969</v>
      </c>
      <c r="Q438" s="113">
        <v>4659</v>
      </c>
      <c r="R438" s="113"/>
      <c r="S438" s="113">
        <v>310</v>
      </c>
      <c r="T438" s="113">
        <v>3151.9809999999998</v>
      </c>
      <c r="U438" s="113">
        <v>3000</v>
      </c>
      <c r="V438" s="113"/>
      <c r="W438" s="113"/>
      <c r="X438" s="113">
        <f>T438-U438</f>
        <v>151.98099999999977</v>
      </c>
      <c r="Y438" s="113">
        <v>2273.77</v>
      </c>
      <c r="Z438" s="113">
        <v>2220.0700000000002</v>
      </c>
      <c r="AA438" s="113"/>
      <c r="AB438" s="113"/>
      <c r="AC438" s="113">
        <v>53.699999999999818</v>
      </c>
      <c r="AD438" s="348">
        <f t="shared" si="23"/>
        <v>0.72137807937294041</v>
      </c>
      <c r="AE438" s="348">
        <f t="shared" si="23"/>
        <v>0.74002333333333337</v>
      </c>
      <c r="AF438" s="348"/>
      <c r="AG438" s="348"/>
      <c r="AH438" s="348">
        <f t="shared" si="27"/>
        <v>0.35333364038925852</v>
      </c>
    </row>
    <row r="439" spans="1:34" ht="75">
      <c r="A439" s="347" t="s">
        <v>23</v>
      </c>
      <c r="B439" s="337" t="s">
        <v>982</v>
      </c>
      <c r="C439" s="347" t="s">
        <v>298</v>
      </c>
      <c r="D439" s="347"/>
      <c r="E439" s="369" t="s">
        <v>378</v>
      </c>
      <c r="F439" s="369" t="s">
        <v>983</v>
      </c>
      <c r="G439" s="113">
        <v>3726.6970000000001</v>
      </c>
      <c r="H439" s="113"/>
      <c r="I439" s="113">
        <v>3726.6970000000001</v>
      </c>
      <c r="J439" s="113"/>
      <c r="K439" s="113"/>
      <c r="L439" s="113">
        <v>3336</v>
      </c>
      <c r="M439" s="113"/>
      <c r="N439" s="113">
        <v>3336</v>
      </c>
      <c r="O439" s="113"/>
      <c r="P439" s="113">
        <v>3336</v>
      </c>
      <c r="Q439" s="113"/>
      <c r="R439" s="113">
        <v>3336</v>
      </c>
      <c r="S439" s="113"/>
      <c r="T439" s="113">
        <v>20.888999999999999</v>
      </c>
      <c r="U439" s="113"/>
      <c r="V439" s="113">
        <v>20.888999999999999</v>
      </c>
      <c r="W439" s="113"/>
      <c r="X439" s="113"/>
      <c r="Y439" s="113">
        <v>20.888999999999999</v>
      </c>
      <c r="Z439" s="113"/>
      <c r="AA439" s="113">
        <v>20.888999999999999</v>
      </c>
      <c r="AB439" s="113"/>
      <c r="AC439" s="113"/>
      <c r="AD439" s="348">
        <f t="shared" si="23"/>
        <v>1</v>
      </c>
      <c r="AE439" s="348"/>
      <c r="AF439" s="348">
        <f t="shared" si="25"/>
        <v>1</v>
      </c>
      <c r="AG439" s="348"/>
      <c r="AH439" s="348"/>
    </row>
    <row r="440" spans="1:34" ht="75">
      <c r="A440" s="347" t="s">
        <v>23</v>
      </c>
      <c r="B440" s="337" t="s">
        <v>984</v>
      </c>
      <c r="C440" s="347" t="s">
        <v>261</v>
      </c>
      <c r="D440" s="347"/>
      <c r="E440" s="369" t="s">
        <v>218</v>
      </c>
      <c r="F440" s="369" t="s">
        <v>985</v>
      </c>
      <c r="G440" s="113">
        <v>10710.675999999999</v>
      </c>
      <c r="H440" s="113"/>
      <c r="I440" s="113"/>
      <c r="J440" s="113"/>
      <c r="K440" s="113">
        <v>10710.675999999999</v>
      </c>
      <c r="L440" s="113">
        <v>5826</v>
      </c>
      <c r="M440" s="113"/>
      <c r="N440" s="113"/>
      <c r="O440" s="113">
        <v>5826</v>
      </c>
      <c r="P440" s="113">
        <v>5000</v>
      </c>
      <c r="Q440" s="113"/>
      <c r="R440" s="113"/>
      <c r="S440" s="113">
        <v>5000</v>
      </c>
      <c r="T440" s="113">
        <v>3053.4340000000002</v>
      </c>
      <c r="U440" s="113"/>
      <c r="V440" s="113"/>
      <c r="W440" s="113"/>
      <c r="X440" s="113">
        <v>3053.4340000000002</v>
      </c>
      <c r="Y440" s="113">
        <v>3053.4340000000002</v>
      </c>
      <c r="Z440" s="113"/>
      <c r="AA440" s="113"/>
      <c r="AB440" s="113"/>
      <c r="AC440" s="113">
        <v>3053.4340000000002</v>
      </c>
      <c r="AD440" s="348">
        <f t="shared" si="23"/>
        <v>1</v>
      </c>
      <c r="AE440" s="348"/>
      <c r="AF440" s="348"/>
      <c r="AG440" s="348"/>
      <c r="AH440" s="348">
        <f t="shared" ref="AH440:AH447" si="28">AC440/X440</f>
        <v>1</v>
      </c>
    </row>
    <row r="441" spans="1:34" ht="75">
      <c r="A441" s="347" t="s">
        <v>23</v>
      </c>
      <c r="B441" s="337" t="s">
        <v>986</v>
      </c>
      <c r="C441" s="347" t="s">
        <v>213</v>
      </c>
      <c r="D441" s="347"/>
      <c r="E441" s="369" t="s">
        <v>281</v>
      </c>
      <c r="F441" s="369" t="s">
        <v>987</v>
      </c>
      <c r="G441" s="113">
        <v>2938.605</v>
      </c>
      <c r="H441" s="113"/>
      <c r="I441" s="113"/>
      <c r="J441" s="113"/>
      <c r="K441" s="113">
        <v>2938.605</v>
      </c>
      <c r="L441" s="113">
        <v>2485</v>
      </c>
      <c r="M441" s="113"/>
      <c r="N441" s="113"/>
      <c r="O441" s="113">
        <v>2485</v>
      </c>
      <c r="P441" s="113">
        <v>2570</v>
      </c>
      <c r="Q441" s="113"/>
      <c r="R441" s="113"/>
      <c r="S441" s="113">
        <v>2570</v>
      </c>
      <c r="T441" s="113">
        <v>350</v>
      </c>
      <c r="U441" s="113"/>
      <c r="V441" s="113"/>
      <c r="W441" s="113"/>
      <c r="X441" s="113">
        <v>350</v>
      </c>
      <c r="Y441" s="113">
        <v>350</v>
      </c>
      <c r="Z441" s="113"/>
      <c r="AA441" s="113"/>
      <c r="AB441" s="113"/>
      <c r="AC441" s="113">
        <v>350</v>
      </c>
      <c r="AD441" s="348">
        <f t="shared" si="23"/>
        <v>1</v>
      </c>
      <c r="AE441" s="348"/>
      <c r="AF441" s="348"/>
      <c r="AG441" s="348"/>
      <c r="AH441" s="348">
        <f t="shared" si="28"/>
        <v>1</v>
      </c>
    </row>
    <row r="442" spans="1:34" ht="75">
      <c r="A442" s="347" t="s">
        <v>23</v>
      </c>
      <c r="B442" s="337" t="s">
        <v>988</v>
      </c>
      <c r="C442" s="347" t="s">
        <v>306</v>
      </c>
      <c r="D442" s="347"/>
      <c r="E442" s="369" t="s">
        <v>218</v>
      </c>
      <c r="F442" s="369" t="s">
        <v>989</v>
      </c>
      <c r="G442" s="113">
        <v>7336.8059999999996</v>
      </c>
      <c r="H442" s="113"/>
      <c r="I442" s="113"/>
      <c r="J442" s="113"/>
      <c r="K442" s="113">
        <v>7336.8059999999996</v>
      </c>
      <c r="L442" s="113">
        <v>4974</v>
      </c>
      <c r="M442" s="113"/>
      <c r="N442" s="113"/>
      <c r="O442" s="113">
        <v>4974</v>
      </c>
      <c r="P442" s="113">
        <v>4678</v>
      </c>
      <c r="Q442" s="113"/>
      <c r="R442" s="113"/>
      <c r="S442" s="113">
        <v>4678</v>
      </c>
      <c r="T442" s="113">
        <v>3048.5</v>
      </c>
      <c r="U442" s="113"/>
      <c r="V442" s="113"/>
      <c r="W442" s="113"/>
      <c r="X442" s="113">
        <v>3048.5</v>
      </c>
      <c r="Y442" s="113">
        <v>2939.5482999999999</v>
      </c>
      <c r="Z442" s="113"/>
      <c r="AA442" s="113"/>
      <c r="AB442" s="113"/>
      <c r="AC442" s="113">
        <v>2939.5482999999999</v>
      </c>
      <c r="AD442" s="348">
        <f t="shared" si="23"/>
        <v>0.96426055437100211</v>
      </c>
      <c r="AE442" s="348"/>
      <c r="AF442" s="348"/>
      <c r="AG442" s="348"/>
      <c r="AH442" s="348">
        <f t="shared" si="28"/>
        <v>0.96426055437100211</v>
      </c>
    </row>
    <row r="443" spans="1:34" ht="75">
      <c r="A443" s="347" t="s">
        <v>23</v>
      </c>
      <c r="B443" s="337" t="s">
        <v>990</v>
      </c>
      <c r="C443" s="347" t="s">
        <v>213</v>
      </c>
      <c r="D443" s="347"/>
      <c r="E443" s="369" t="s">
        <v>281</v>
      </c>
      <c r="F443" s="369" t="s">
        <v>991</v>
      </c>
      <c r="G443" s="113">
        <v>2621.6419999999998</v>
      </c>
      <c r="H443" s="113"/>
      <c r="I443" s="113"/>
      <c r="J443" s="113"/>
      <c r="K443" s="113">
        <v>2621.6419999999998</v>
      </c>
      <c r="L443" s="113">
        <v>2304</v>
      </c>
      <c r="M443" s="113"/>
      <c r="N443" s="113"/>
      <c r="O443" s="113">
        <v>2304</v>
      </c>
      <c r="P443" s="113">
        <v>2304</v>
      </c>
      <c r="Q443" s="113"/>
      <c r="R443" s="113"/>
      <c r="S443" s="113">
        <v>2304</v>
      </c>
      <c r="T443" s="113">
        <v>401.45400000000001</v>
      </c>
      <c r="U443" s="113"/>
      <c r="V443" s="113"/>
      <c r="W443" s="113"/>
      <c r="X443" s="113">
        <v>401.45400000000001</v>
      </c>
      <c r="Y443" s="113">
        <v>360.01400000000001</v>
      </c>
      <c r="Z443" s="113"/>
      <c r="AA443" s="113"/>
      <c r="AB443" s="113"/>
      <c r="AC443" s="113">
        <v>360.01400000000001</v>
      </c>
      <c r="AD443" s="348">
        <f t="shared" si="23"/>
        <v>0.8967752220677836</v>
      </c>
      <c r="AE443" s="348"/>
      <c r="AF443" s="348"/>
      <c r="AG443" s="348"/>
      <c r="AH443" s="348">
        <f t="shared" si="28"/>
        <v>0.8967752220677836</v>
      </c>
    </row>
    <row r="444" spans="1:34" ht="60">
      <c r="A444" s="347" t="s">
        <v>23</v>
      </c>
      <c r="B444" s="337" t="s">
        <v>992</v>
      </c>
      <c r="C444" s="347" t="s">
        <v>213</v>
      </c>
      <c r="D444" s="347"/>
      <c r="E444" s="369" t="s">
        <v>276</v>
      </c>
      <c r="F444" s="369" t="s">
        <v>993</v>
      </c>
      <c r="G444" s="113">
        <v>150274</v>
      </c>
      <c r="H444" s="113"/>
      <c r="I444" s="113">
        <v>85000</v>
      </c>
      <c r="J444" s="113"/>
      <c r="K444" s="113">
        <v>65274</v>
      </c>
      <c r="L444" s="113">
        <v>57995</v>
      </c>
      <c r="M444" s="113"/>
      <c r="N444" s="113">
        <v>21585</v>
      </c>
      <c r="O444" s="113">
        <v>36411</v>
      </c>
      <c r="P444" s="113">
        <v>55573</v>
      </c>
      <c r="Q444" s="113"/>
      <c r="R444" s="113">
        <v>19163</v>
      </c>
      <c r="S444" s="113">
        <v>36411</v>
      </c>
      <c r="T444" s="113">
        <v>52988.017999999996</v>
      </c>
      <c r="U444" s="113"/>
      <c r="V444" s="113">
        <v>16988.018</v>
      </c>
      <c r="W444" s="113"/>
      <c r="X444" s="113">
        <f>T444-V444</f>
        <v>36000</v>
      </c>
      <c r="Y444" s="113">
        <v>35572.091999999997</v>
      </c>
      <c r="Z444" s="113"/>
      <c r="AA444" s="113">
        <v>16164.864</v>
      </c>
      <c r="AB444" s="113"/>
      <c r="AC444" s="113">
        <v>19407.227999999996</v>
      </c>
      <c r="AD444" s="348">
        <f t="shared" si="23"/>
        <v>0.67132331690534264</v>
      </c>
      <c r="AE444" s="348"/>
      <c r="AF444" s="348">
        <f t="shared" si="25"/>
        <v>0.95154502426357213</v>
      </c>
      <c r="AG444" s="348"/>
      <c r="AH444" s="348">
        <f t="shared" si="28"/>
        <v>0.53908966666666658</v>
      </c>
    </row>
    <row r="445" spans="1:34" ht="75">
      <c r="A445" s="347" t="s">
        <v>23</v>
      </c>
      <c r="B445" s="337" t="s">
        <v>994</v>
      </c>
      <c r="C445" s="347" t="s">
        <v>284</v>
      </c>
      <c r="D445" s="347"/>
      <c r="E445" s="369" t="s">
        <v>281</v>
      </c>
      <c r="F445" s="369" t="s">
        <v>995</v>
      </c>
      <c r="G445" s="113">
        <v>3826.1559999999999</v>
      </c>
      <c r="H445" s="113"/>
      <c r="I445" s="113"/>
      <c r="J445" s="113"/>
      <c r="K445" s="113">
        <v>3826.1559999999999</v>
      </c>
      <c r="L445" s="113">
        <v>3707</v>
      </c>
      <c r="M445" s="113"/>
      <c r="N445" s="113"/>
      <c r="O445" s="113">
        <v>3707</v>
      </c>
      <c r="P445" s="113">
        <v>3757</v>
      </c>
      <c r="Q445" s="113"/>
      <c r="R445" s="113"/>
      <c r="S445" s="113">
        <v>3757</v>
      </c>
      <c r="T445" s="113">
        <v>2773.0054</v>
      </c>
      <c r="U445" s="113"/>
      <c r="V445" s="113"/>
      <c r="W445" s="113"/>
      <c r="X445" s="113">
        <v>2773.0054</v>
      </c>
      <c r="Y445" s="113">
        <v>2559.9634000000001</v>
      </c>
      <c r="Z445" s="113"/>
      <c r="AA445" s="113"/>
      <c r="AB445" s="113"/>
      <c r="AC445" s="113">
        <v>2559.9634000000001</v>
      </c>
      <c r="AD445" s="348">
        <f t="shared" si="23"/>
        <v>0.92317288671706155</v>
      </c>
      <c r="AE445" s="348"/>
      <c r="AF445" s="348"/>
      <c r="AG445" s="348"/>
      <c r="AH445" s="348">
        <f t="shared" si="28"/>
        <v>0.92317288671706155</v>
      </c>
    </row>
    <row r="446" spans="1:34" ht="75">
      <c r="A446" s="347" t="s">
        <v>23</v>
      </c>
      <c r="B446" s="337" t="s">
        <v>996</v>
      </c>
      <c r="C446" s="347" t="s">
        <v>600</v>
      </c>
      <c r="D446" s="347"/>
      <c r="E446" s="369" t="s">
        <v>214</v>
      </c>
      <c r="F446" s="369" t="s">
        <v>997</v>
      </c>
      <c r="G446" s="113">
        <v>4833.38</v>
      </c>
      <c r="H446" s="113"/>
      <c r="I446" s="113"/>
      <c r="J446" s="113"/>
      <c r="K446" s="113">
        <v>4833.38</v>
      </c>
      <c r="L446" s="113">
        <v>4827</v>
      </c>
      <c r="M446" s="113"/>
      <c r="N446" s="113"/>
      <c r="O446" s="113">
        <v>4827</v>
      </c>
      <c r="P446" s="113">
        <v>4840</v>
      </c>
      <c r="Q446" s="113"/>
      <c r="R446" s="113"/>
      <c r="S446" s="113">
        <v>4840</v>
      </c>
      <c r="T446" s="113">
        <v>4840</v>
      </c>
      <c r="U446" s="113"/>
      <c r="V446" s="113"/>
      <c r="W446" s="113"/>
      <c r="X446" s="113">
        <v>4840</v>
      </c>
      <c r="Y446" s="113">
        <v>4827.1959999999999</v>
      </c>
      <c r="Z446" s="113"/>
      <c r="AA446" s="113"/>
      <c r="AB446" s="113"/>
      <c r="AC446" s="113">
        <v>4827.1959999999999</v>
      </c>
      <c r="AD446" s="348">
        <f t="shared" si="23"/>
        <v>0.99735454545454538</v>
      </c>
      <c r="AE446" s="348"/>
      <c r="AF446" s="348"/>
      <c r="AG446" s="348"/>
      <c r="AH446" s="348">
        <f t="shared" si="28"/>
        <v>0.99735454545454538</v>
      </c>
    </row>
    <row r="447" spans="1:34" ht="75">
      <c r="A447" s="347" t="s">
        <v>23</v>
      </c>
      <c r="B447" s="337" t="s">
        <v>998</v>
      </c>
      <c r="C447" s="347" t="s">
        <v>213</v>
      </c>
      <c r="D447" s="347"/>
      <c r="E447" s="369" t="s">
        <v>421</v>
      </c>
      <c r="F447" s="369" t="s">
        <v>999</v>
      </c>
      <c r="G447" s="113">
        <v>10580.145</v>
      </c>
      <c r="H447" s="113">
        <v>9094.9314200000008</v>
      </c>
      <c r="I447" s="113"/>
      <c r="J447" s="113"/>
      <c r="K447" s="113">
        <v>1485</v>
      </c>
      <c r="L447" s="113">
        <v>196</v>
      </c>
      <c r="M447" s="113"/>
      <c r="N447" s="113"/>
      <c r="O447" s="113">
        <v>196</v>
      </c>
      <c r="P447" s="113">
        <v>770</v>
      </c>
      <c r="Q447" s="113">
        <v>500</v>
      </c>
      <c r="R447" s="113"/>
      <c r="S447" s="113">
        <v>270</v>
      </c>
      <c r="T447" s="113">
        <v>770</v>
      </c>
      <c r="U447" s="113">
        <v>500</v>
      </c>
      <c r="V447" s="113"/>
      <c r="W447" s="113"/>
      <c r="X447" s="113">
        <f>T447-U447</f>
        <v>270</v>
      </c>
      <c r="Y447" s="113">
        <f>Z447+AC447</f>
        <v>180.05099999999999</v>
      </c>
      <c r="Z447" s="113">
        <v>4.0510000000000002</v>
      </c>
      <c r="AA447" s="113"/>
      <c r="AB447" s="113"/>
      <c r="AC447" s="113">
        <v>176</v>
      </c>
      <c r="AD447" s="348">
        <f t="shared" si="23"/>
        <v>0.2338324675324675</v>
      </c>
      <c r="AE447" s="348">
        <f t="shared" si="23"/>
        <v>8.1019999999999998E-3</v>
      </c>
      <c r="AF447" s="348"/>
      <c r="AG447" s="348"/>
      <c r="AH447" s="348">
        <f t="shared" si="28"/>
        <v>0.6518518518518519</v>
      </c>
    </row>
    <row r="448" spans="1:34" ht="60">
      <c r="A448" s="347" t="s">
        <v>23</v>
      </c>
      <c r="B448" s="337" t="s">
        <v>1000</v>
      </c>
      <c r="C448" s="347" t="s">
        <v>362</v>
      </c>
      <c r="D448" s="347"/>
      <c r="E448" s="369" t="s">
        <v>1001</v>
      </c>
      <c r="F448" s="369" t="s">
        <v>1002</v>
      </c>
      <c r="G448" s="113">
        <v>43649</v>
      </c>
      <c r="H448" s="113"/>
      <c r="I448" s="113"/>
      <c r="J448" s="113">
        <v>37049</v>
      </c>
      <c r="K448" s="113">
        <v>6600</v>
      </c>
      <c r="L448" s="113">
        <v>41563</v>
      </c>
      <c r="M448" s="113"/>
      <c r="N448" s="113">
        <v>36163</v>
      </c>
      <c r="O448" s="113">
        <v>5400</v>
      </c>
      <c r="P448" s="113">
        <v>42407</v>
      </c>
      <c r="Q448" s="113"/>
      <c r="R448" s="113">
        <v>37007</v>
      </c>
      <c r="S448" s="113">
        <v>5400</v>
      </c>
      <c r="T448" s="113">
        <v>848.17146700000001</v>
      </c>
      <c r="U448" s="113"/>
      <c r="V448" s="113"/>
      <c r="W448" s="113">
        <v>848.17146700000001</v>
      </c>
      <c r="X448" s="113"/>
      <c r="Y448" s="113">
        <v>791.86800000000005</v>
      </c>
      <c r="Z448" s="113"/>
      <c r="AA448" s="113"/>
      <c r="AB448" s="113">
        <v>791.86800000000005</v>
      </c>
      <c r="AC448" s="113"/>
      <c r="AD448" s="348">
        <f t="shared" si="23"/>
        <v>0.93361782470807886</v>
      </c>
      <c r="AE448" s="348"/>
      <c r="AF448" s="348"/>
      <c r="AG448" s="348">
        <f t="shared" ref="AG448:AG457" si="29">AB448/W448</f>
        <v>0.93361782470807886</v>
      </c>
      <c r="AH448" s="348"/>
    </row>
    <row r="449" spans="1:34" ht="75">
      <c r="A449" s="347" t="s">
        <v>23</v>
      </c>
      <c r="B449" s="337" t="s">
        <v>1003</v>
      </c>
      <c r="C449" s="347" t="s">
        <v>261</v>
      </c>
      <c r="D449" s="347"/>
      <c r="E449" s="369" t="s">
        <v>869</v>
      </c>
      <c r="F449" s="369" t="s">
        <v>1004</v>
      </c>
      <c r="G449" s="113">
        <v>12449.7</v>
      </c>
      <c r="H449" s="113"/>
      <c r="I449" s="113"/>
      <c r="J449" s="113">
        <v>12449.7</v>
      </c>
      <c r="K449" s="113"/>
      <c r="L449" s="113">
        <v>12112</v>
      </c>
      <c r="M449" s="113"/>
      <c r="N449" s="113">
        <v>12112</v>
      </c>
      <c r="O449" s="113"/>
      <c r="P449" s="113">
        <v>12109</v>
      </c>
      <c r="Q449" s="113"/>
      <c r="R449" s="113">
        <v>12109</v>
      </c>
      <c r="S449" s="113"/>
      <c r="T449" s="113">
        <v>150</v>
      </c>
      <c r="U449" s="113"/>
      <c r="V449" s="113"/>
      <c r="W449" s="113">
        <v>150</v>
      </c>
      <c r="X449" s="113"/>
      <c r="Y449" s="113">
        <v>0</v>
      </c>
      <c r="Z449" s="113"/>
      <c r="AA449" s="113"/>
      <c r="AB449" s="113"/>
      <c r="AC449" s="113"/>
      <c r="AD449" s="348">
        <f t="shared" si="23"/>
        <v>0</v>
      </c>
      <c r="AE449" s="348"/>
      <c r="AF449" s="348"/>
      <c r="AG449" s="348">
        <f t="shared" si="29"/>
        <v>0</v>
      </c>
      <c r="AH449" s="348"/>
    </row>
    <row r="450" spans="1:34" ht="94.5">
      <c r="A450" s="347" t="s">
        <v>23</v>
      </c>
      <c r="B450" s="337" t="s">
        <v>1005</v>
      </c>
      <c r="C450" s="347" t="s">
        <v>213</v>
      </c>
      <c r="D450" s="347" t="s">
        <v>1006</v>
      </c>
      <c r="E450" s="369" t="s">
        <v>905</v>
      </c>
      <c r="F450" s="369" t="s">
        <v>1007</v>
      </c>
      <c r="G450" s="113">
        <v>36715.14</v>
      </c>
      <c r="H450" s="113"/>
      <c r="I450" s="113"/>
      <c r="J450" s="113">
        <v>29368</v>
      </c>
      <c r="K450" s="113">
        <v>7347.1399999999994</v>
      </c>
      <c r="L450" s="113">
        <v>30280.999</v>
      </c>
      <c r="M450" s="113"/>
      <c r="N450" s="113">
        <v>29632.694</v>
      </c>
      <c r="O450" s="113">
        <v>648.30499999999995</v>
      </c>
      <c r="P450" s="113">
        <v>30280.999</v>
      </c>
      <c r="Q450" s="113"/>
      <c r="R450" s="113">
        <v>29632.694</v>
      </c>
      <c r="S450" s="113">
        <v>648.30499999999995</v>
      </c>
      <c r="T450" s="113">
        <v>141.85300000000001</v>
      </c>
      <c r="U450" s="113"/>
      <c r="V450" s="113"/>
      <c r="W450" s="113">
        <v>141.85300000000001</v>
      </c>
      <c r="X450" s="113"/>
      <c r="Y450" s="113">
        <v>0</v>
      </c>
      <c r="Z450" s="113"/>
      <c r="AA450" s="113"/>
      <c r="AB450" s="113"/>
      <c r="AC450" s="113"/>
      <c r="AD450" s="348">
        <f t="shared" si="23"/>
        <v>0</v>
      </c>
      <c r="AE450" s="348"/>
      <c r="AF450" s="348"/>
      <c r="AG450" s="348">
        <f t="shared" si="29"/>
        <v>0</v>
      </c>
      <c r="AH450" s="348"/>
    </row>
    <row r="451" spans="1:34" ht="75">
      <c r="A451" s="347" t="s">
        <v>23</v>
      </c>
      <c r="B451" s="337" t="s">
        <v>1008</v>
      </c>
      <c r="C451" s="347" t="s">
        <v>298</v>
      </c>
      <c r="D451" s="347"/>
      <c r="E451" s="369" t="s">
        <v>1001</v>
      </c>
      <c r="F451" s="369" t="s">
        <v>1009</v>
      </c>
      <c r="G451" s="113">
        <v>21186</v>
      </c>
      <c r="H451" s="113"/>
      <c r="I451" s="113"/>
      <c r="J451" s="113">
        <v>17382</v>
      </c>
      <c r="K451" s="113">
        <v>3804</v>
      </c>
      <c r="L451" s="113">
        <v>20574</v>
      </c>
      <c r="M451" s="113"/>
      <c r="N451" s="113">
        <v>17246</v>
      </c>
      <c r="O451" s="113">
        <v>3328</v>
      </c>
      <c r="P451" s="113">
        <v>20659</v>
      </c>
      <c r="Q451" s="113"/>
      <c r="R451" s="113">
        <v>17331</v>
      </c>
      <c r="S451" s="113">
        <v>3328</v>
      </c>
      <c r="T451" s="113">
        <v>1258.7650000000001</v>
      </c>
      <c r="U451" s="113"/>
      <c r="V451" s="113"/>
      <c r="W451" s="113">
        <v>1258.7650000000001</v>
      </c>
      <c r="X451" s="113"/>
      <c r="Y451" s="113">
        <v>1234.222</v>
      </c>
      <c r="Z451" s="113"/>
      <c r="AA451" s="113"/>
      <c r="AB451" s="113">
        <v>1234.222</v>
      </c>
      <c r="AC451" s="113"/>
      <c r="AD451" s="348">
        <f t="shared" si="23"/>
        <v>0.98050231774795127</v>
      </c>
      <c r="AE451" s="348"/>
      <c r="AF451" s="348"/>
      <c r="AG451" s="348">
        <f t="shared" si="29"/>
        <v>0.98050231774795127</v>
      </c>
      <c r="AH451" s="348"/>
    </row>
    <row r="452" spans="1:34" ht="60">
      <c r="A452" s="347" t="s">
        <v>23</v>
      </c>
      <c r="B452" s="337" t="s">
        <v>1010</v>
      </c>
      <c r="C452" s="347" t="s">
        <v>213</v>
      </c>
      <c r="D452" s="347"/>
      <c r="E452" s="369" t="s">
        <v>662</v>
      </c>
      <c r="F452" s="369" t="s">
        <v>1011</v>
      </c>
      <c r="G452" s="113">
        <v>196806</v>
      </c>
      <c r="H452" s="113"/>
      <c r="I452" s="113"/>
      <c r="J452" s="113">
        <v>196806</v>
      </c>
      <c r="K452" s="113"/>
      <c r="L452" s="113">
        <v>196087</v>
      </c>
      <c r="M452" s="113"/>
      <c r="N452" s="113">
        <v>196087</v>
      </c>
      <c r="O452" s="113"/>
      <c r="P452" s="113">
        <v>196807</v>
      </c>
      <c r="Q452" s="113"/>
      <c r="R452" s="113">
        <v>196807</v>
      </c>
      <c r="S452" s="113"/>
      <c r="T452" s="113">
        <v>4280.1332000000002</v>
      </c>
      <c r="U452" s="113"/>
      <c r="V452" s="113"/>
      <c r="W452" s="113">
        <v>4280.1332000000002</v>
      </c>
      <c r="X452" s="113"/>
      <c r="Y452" s="113">
        <v>3924.0160000000001</v>
      </c>
      <c r="Z452" s="113"/>
      <c r="AA452" s="113"/>
      <c r="AB452" s="113">
        <v>3924.0160000000001</v>
      </c>
      <c r="AC452" s="113"/>
      <c r="AD452" s="348">
        <f t="shared" si="23"/>
        <v>0.91679763611095089</v>
      </c>
      <c r="AE452" s="348"/>
      <c r="AF452" s="348"/>
      <c r="AG452" s="348">
        <f t="shared" si="29"/>
        <v>0.91679763611095089</v>
      </c>
      <c r="AH452" s="348"/>
    </row>
    <row r="453" spans="1:34" ht="75">
      <c r="A453" s="347" t="s">
        <v>23</v>
      </c>
      <c r="B453" s="337" t="s">
        <v>1012</v>
      </c>
      <c r="C453" s="347" t="s">
        <v>600</v>
      </c>
      <c r="D453" s="347"/>
      <c r="E453" s="369" t="s">
        <v>1013</v>
      </c>
      <c r="F453" s="369" t="s">
        <v>1014</v>
      </c>
      <c r="G453" s="113">
        <v>9474.5</v>
      </c>
      <c r="H453" s="113"/>
      <c r="I453" s="113"/>
      <c r="J453" s="113">
        <v>9474.5</v>
      </c>
      <c r="K453" s="113"/>
      <c r="L453" s="113">
        <v>9450</v>
      </c>
      <c r="M453" s="113"/>
      <c r="N453" s="113">
        <v>9450</v>
      </c>
      <c r="O453" s="113"/>
      <c r="P453" s="113">
        <v>9448</v>
      </c>
      <c r="Q453" s="113"/>
      <c r="R453" s="113">
        <v>9448</v>
      </c>
      <c r="S453" s="113"/>
      <c r="T453" s="113">
        <v>190.785</v>
      </c>
      <c r="U453" s="113"/>
      <c r="V453" s="113"/>
      <c r="W453" s="113">
        <v>190.785</v>
      </c>
      <c r="X453" s="113"/>
      <c r="Y453" s="113">
        <v>25.413</v>
      </c>
      <c r="Z453" s="113"/>
      <c r="AA453" s="113"/>
      <c r="AB453" s="113">
        <v>25.413</v>
      </c>
      <c r="AC453" s="113"/>
      <c r="AD453" s="348">
        <f t="shared" si="23"/>
        <v>0.13320229577796996</v>
      </c>
      <c r="AE453" s="348"/>
      <c r="AF453" s="348"/>
      <c r="AG453" s="348">
        <f t="shared" si="29"/>
        <v>0.13320229577796996</v>
      </c>
      <c r="AH453" s="348"/>
    </row>
    <row r="454" spans="1:34" ht="60">
      <c r="A454" s="347" t="s">
        <v>23</v>
      </c>
      <c r="B454" s="337" t="s">
        <v>1015</v>
      </c>
      <c r="C454" s="347" t="s">
        <v>213</v>
      </c>
      <c r="D454" s="347"/>
      <c r="E454" s="369" t="s">
        <v>561</v>
      </c>
      <c r="F454" s="369" t="s">
        <v>1016</v>
      </c>
      <c r="G454" s="113">
        <v>39156</v>
      </c>
      <c r="H454" s="113"/>
      <c r="I454" s="113"/>
      <c r="J454" s="113">
        <v>39156</v>
      </c>
      <c r="K454" s="113"/>
      <c r="L454" s="113">
        <v>39156</v>
      </c>
      <c r="M454" s="113"/>
      <c r="N454" s="113">
        <v>39156</v>
      </c>
      <c r="O454" s="113"/>
      <c r="P454" s="113">
        <v>39156</v>
      </c>
      <c r="Q454" s="113"/>
      <c r="R454" s="113">
        <v>39156</v>
      </c>
      <c r="S454" s="113"/>
      <c r="T454" s="113">
        <v>299.4255</v>
      </c>
      <c r="U454" s="113"/>
      <c r="V454" s="113"/>
      <c r="W454" s="113">
        <v>299.4255</v>
      </c>
      <c r="X454" s="113"/>
      <c r="Y454" s="113">
        <v>8.0609999999999999</v>
      </c>
      <c r="Z454" s="113"/>
      <c r="AA454" s="113"/>
      <c r="AB454" s="113">
        <v>8.0609999999999999</v>
      </c>
      <c r="AC454" s="113"/>
      <c r="AD454" s="348">
        <f t="shared" si="23"/>
        <v>2.6921554777398719E-2</v>
      </c>
      <c r="AE454" s="348"/>
      <c r="AF454" s="348"/>
      <c r="AG454" s="348">
        <f t="shared" si="29"/>
        <v>2.6921554777398719E-2</v>
      </c>
      <c r="AH454" s="348"/>
    </row>
    <row r="455" spans="1:34" ht="94.5">
      <c r="A455" s="347" t="s">
        <v>23</v>
      </c>
      <c r="B455" s="337" t="s">
        <v>1017</v>
      </c>
      <c r="C455" s="347" t="s">
        <v>476</v>
      </c>
      <c r="D455" s="347" t="s">
        <v>1018</v>
      </c>
      <c r="E455" s="369" t="s">
        <v>905</v>
      </c>
      <c r="F455" s="369" t="s">
        <v>1019</v>
      </c>
      <c r="G455" s="113">
        <v>34453</v>
      </c>
      <c r="H455" s="113"/>
      <c r="I455" s="113"/>
      <c r="J455" s="113">
        <v>28983</v>
      </c>
      <c r="K455" s="113">
        <v>5470</v>
      </c>
      <c r="L455" s="113">
        <v>34452.44</v>
      </c>
      <c r="M455" s="113"/>
      <c r="N455" s="113">
        <v>28753.981000000003</v>
      </c>
      <c r="O455" s="113">
        <v>5698.4589999999998</v>
      </c>
      <c r="P455" s="113">
        <v>34452.44</v>
      </c>
      <c r="Q455" s="113"/>
      <c r="R455" s="113">
        <v>28753.981000000003</v>
      </c>
      <c r="S455" s="113">
        <v>5698.4589999999998</v>
      </c>
      <c r="T455" s="113">
        <v>101.211</v>
      </c>
      <c r="U455" s="113"/>
      <c r="V455" s="113"/>
      <c r="W455" s="113">
        <v>101.211</v>
      </c>
      <c r="X455" s="113"/>
      <c r="Y455" s="113">
        <v>0</v>
      </c>
      <c r="Z455" s="113"/>
      <c r="AA455" s="113"/>
      <c r="AB455" s="113"/>
      <c r="AC455" s="113"/>
      <c r="AD455" s="348">
        <f t="shared" si="23"/>
        <v>0</v>
      </c>
      <c r="AE455" s="348"/>
      <c r="AF455" s="348"/>
      <c r="AG455" s="348">
        <f t="shared" si="29"/>
        <v>0</v>
      </c>
      <c r="AH455" s="348"/>
    </row>
    <row r="456" spans="1:34" ht="75">
      <c r="A456" s="347" t="s">
        <v>23</v>
      </c>
      <c r="B456" s="337" t="s">
        <v>1020</v>
      </c>
      <c r="C456" s="347" t="s">
        <v>265</v>
      </c>
      <c r="D456" s="347"/>
      <c r="E456" s="369" t="s">
        <v>1013</v>
      </c>
      <c r="F456" s="369" t="s">
        <v>1021</v>
      </c>
      <c r="G456" s="113">
        <v>39012</v>
      </c>
      <c r="H456" s="113"/>
      <c r="I456" s="113"/>
      <c r="J456" s="113">
        <v>34051</v>
      </c>
      <c r="K456" s="113">
        <v>4961</v>
      </c>
      <c r="L456" s="113">
        <v>31540</v>
      </c>
      <c r="M456" s="113"/>
      <c r="N456" s="113">
        <v>30756</v>
      </c>
      <c r="O456" s="113">
        <v>784</v>
      </c>
      <c r="P456" s="113">
        <v>34584</v>
      </c>
      <c r="Q456" s="113"/>
      <c r="R456" s="113">
        <v>33800</v>
      </c>
      <c r="S456" s="113">
        <v>784</v>
      </c>
      <c r="T456" s="113">
        <v>2739.6215000000002</v>
      </c>
      <c r="U456" s="113"/>
      <c r="V456" s="113"/>
      <c r="W456" s="113">
        <v>2739.6215000000002</v>
      </c>
      <c r="X456" s="113"/>
      <c r="Y456" s="113">
        <v>109.273</v>
      </c>
      <c r="Z456" s="113"/>
      <c r="AA456" s="113"/>
      <c r="AB456" s="113">
        <v>109.273</v>
      </c>
      <c r="AC456" s="113"/>
      <c r="AD456" s="348">
        <f t="shared" si="23"/>
        <v>3.988616675697719E-2</v>
      </c>
      <c r="AE456" s="348"/>
      <c r="AF456" s="348"/>
      <c r="AG456" s="348">
        <f t="shared" si="29"/>
        <v>3.988616675697719E-2</v>
      </c>
      <c r="AH456" s="348"/>
    </row>
    <row r="457" spans="1:34" ht="60">
      <c r="A457" s="347" t="s">
        <v>23</v>
      </c>
      <c r="B457" s="337" t="s">
        <v>1022</v>
      </c>
      <c r="C457" s="347" t="s">
        <v>213</v>
      </c>
      <c r="D457" s="347"/>
      <c r="E457" s="369" t="s">
        <v>561</v>
      </c>
      <c r="F457" s="369" t="s">
        <v>1023</v>
      </c>
      <c r="G457" s="113">
        <v>34219</v>
      </c>
      <c r="H457" s="113"/>
      <c r="I457" s="113"/>
      <c r="J457" s="113">
        <v>34219</v>
      </c>
      <c r="K457" s="113"/>
      <c r="L457" s="113">
        <v>34173</v>
      </c>
      <c r="M457" s="113">
        <v>13984</v>
      </c>
      <c r="N457" s="113">
        <v>20189</v>
      </c>
      <c r="O457" s="113"/>
      <c r="P457" s="113">
        <v>36681</v>
      </c>
      <c r="Q457" s="113">
        <v>13984</v>
      </c>
      <c r="R457" s="113">
        <v>22697</v>
      </c>
      <c r="S457" s="113"/>
      <c r="T457" s="113">
        <v>2055.0445</v>
      </c>
      <c r="U457" s="113"/>
      <c r="V457" s="113"/>
      <c r="W457" s="113">
        <v>2055.0445</v>
      </c>
      <c r="X457" s="113"/>
      <c r="Y457" s="113">
        <v>71.644499999999994</v>
      </c>
      <c r="Z457" s="113"/>
      <c r="AA457" s="113"/>
      <c r="AB457" s="113">
        <v>71.644499999999994</v>
      </c>
      <c r="AC457" s="113"/>
      <c r="AD457" s="348">
        <f t="shared" si="23"/>
        <v>3.4862748714200593E-2</v>
      </c>
      <c r="AE457" s="348"/>
      <c r="AF457" s="348"/>
      <c r="AG457" s="348">
        <f t="shared" si="29"/>
        <v>3.4862748714200593E-2</v>
      </c>
      <c r="AH457" s="348"/>
    </row>
    <row r="458" spans="1:34">
      <c r="A458" s="334">
        <v>63</v>
      </c>
      <c r="B458" s="335" t="s">
        <v>188</v>
      </c>
      <c r="C458" s="347"/>
      <c r="D458" s="347"/>
      <c r="E458" s="369"/>
      <c r="F458" s="369"/>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c r="AC458" s="113"/>
      <c r="AD458" s="348"/>
      <c r="AE458" s="348"/>
      <c r="AF458" s="348"/>
      <c r="AG458" s="348"/>
      <c r="AH458" s="348"/>
    </row>
    <row r="459" spans="1:34" ht="31.5">
      <c r="A459" s="347" t="s">
        <v>23</v>
      </c>
      <c r="B459" s="337" t="s">
        <v>1024</v>
      </c>
      <c r="C459" s="347" t="s">
        <v>298</v>
      </c>
      <c r="D459" s="347"/>
      <c r="E459" s="369">
        <v>2015</v>
      </c>
      <c r="F459" s="369" t="s">
        <v>1025</v>
      </c>
      <c r="G459" s="113">
        <v>4693</v>
      </c>
      <c r="H459" s="113"/>
      <c r="I459" s="113"/>
      <c r="J459" s="113"/>
      <c r="K459" s="113">
        <v>2193</v>
      </c>
      <c r="L459" s="113">
        <v>4606</v>
      </c>
      <c r="M459" s="113"/>
      <c r="N459" s="113"/>
      <c r="O459" s="113">
        <v>2106</v>
      </c>
      <c r="P459" s="113">
        <v>4700</v>
      </c>
      <c r="Q459" s="113"/>
      <c r="R459" s="113"/>
      <c r="S459" s="113">
        <v>2200</v>
      </c>
      <c r="T459" s="113">
        <v>2600</v>
      </c>
      <c r="U459" s="113"/>
      <c r="V459" s="113"/>
      <c r="W459" s="113"/>
      <c r="X459" s="113">
        <v>2600</v>
      </c>
      <c r="Y459" s="113">
        <v>2471.2429999999999</v>
      </c>
      <c r="Z459" s="113"/>
      <c r="AA459" s="113"/>
      <c r="AB459" s="113"/>
      <c r="AC459" s="113">
        <v>2471.2429999999999</v>
      </c>
      <c r="AD459" s="348">
        <f t="shared" si="23"/>
        <v>0.95047807692307695</v>
      </c>
      <c r="AE459" s="348"/>
      <c r="AF459" s="348"/>
      <c r="AG459" s="348"/>
      <c r="AH459" s="348">
        <f>AC459/X459</f>
        <v>0.95047807692307695</v>
      </c>
    </row>
    <row r="460" spans="1:34" ht="47.25">
      <c r="A460" s="347" t="s">
        <v>23</v>
      </c>
      <c r="B460" s="337" t="s">
        <v>1026</v>
      </c>
      <c r="C460" s="347"/>
      <c r="D460" s="347"/>
      <c r="E460" s="369">
        <v>2015</v>
      </c>
      <c r="F460" s="369" t="s">
        <v>1025</v>
      </c>
      <c r="G460" s="113">
        <v>4693</v>
      </c>
      <c r="H460" s="113"/>
      <c r="I460" s="113"/>
      <c r="J460" s="113"/>
      <c r="K460" s="113">
        <v>2193</v>
      </c>
      <c r="L460" s="113">
        <v>4606</v>
      </c>
      <c r="M460" s="113"/>
      <c r="N460" s="113"/>
      <c r="O460" s="113">
        <v>2106</v>
      </c>
      <c r="P460" s="113">
        <v>4700</v>
      </c>
      <c r="Q460" s="113"/>
      <c r="R460" s="113"/>
      <c r="S460" s="113">
        <v>2200</v>
      </c>
      <c r="T460" s="113">
        <v>1200</v>
      </c>
      <c r="U460" s="113"/>
      <c r="V460" s="113"/>
      <c r="W460" s="113"/>
      <c r="X460" s="113">
        <v>1200</v>
      </c>
      <c r="Y460" s="113">
        <v>1106.2570000000001</v>
      </c>
      <c r="Z460" s="113"/>
      <c r="AA460" s="113"/>
      <c r="AB460" s="113"/>
      <c r="AC460" s="113">
        <v>1106.2570000000001</v>
      </c>
      <c r="AD460" s="348">
        <f t="shared" si="23"/>
        <v>0.92188083333333337</v>
      </c>
      <c r="AE460" s="348"/>
      <c r="AF460" s="348"/>
      <c r="AG460" s="348"/>
      <c r="AH460" s="348">
        <f>AC460/X460</f>
        <v>0.92188083333333337</v>
      </c>
    </row>
    <row r="461" spans="1:34" s="346" customFormat="1" ht="31.5">
      <c r="A461" s="334">
        <v>64</v>
      </c>
      <c r="B461" s="335" t="s">
        <v>189</v>
      </c>
      <c r="C461" s="334"/>
      <c r="D461" s="334"/>
      <c r="E461" s="357"/>
      <c r="F461" s="357"/>
      <c r="G461" s="345"/>
      <c r="H461" s="345"/>
      <c r="I461" s="345"/>
      <c r="J461" s="345"/>
      <c r="K461" s="345"/>
      <c r="L461" s="345"/>
      <c r="M461" s="345"/>
      <c r="N461" s="345"/>
      <c r="O461" s="345"/>
      <c r="P461" s="345"/>
      <c r="Q461" s="345"/>
      <c r="R461" s="345"/>
      <c r="S461" s="345"/>
      <c r="T461" s="345"/>
      <c r="U461" s="345"/>
      <c r="V461" s="345"/>
      <c r="W461" s="345"/>
      <c r="X461" s="345"/>
      <c r="Y461" s="345"/>
      <c r="Z461" s="345"/>
      <c r="AA461" s="345"/>
      <c r="AB461" s="345"/>
      <c r="AC461" s="345"/>
      <c r="AD461" s="348"/>
      <c r="AE461" s="348"/>
      <c r="AF461" s="348"/>
      <c r="AG461" s="348"/>
      <c r="AH461" s="348"/>
    </row>
    <row r="462" spans="1:34" ht="63">
      <c r="A462" s="347" t="s">
        <v>23</v>
      </c>
      <c r="B462" s="337" t="s">
        <v>1027</v>
      </c>
      <c r="C462" s="347" t="s">
        <v>265</v>
      </c>
      <c r="D462" s="347"/>
      <c r="E462" s="369" t="s">
        <v>378</v>
      </c>
      <c r="F462" s="369" t="s">
        <v>1028</v>
      </c>
      <c r="G462" s="113">
        <v>14333</v>
      </c>
      <c r="H462" s="113"/>
      <c r="I462" s="113">
        <v>9250</v>
      </c>
      <c r="J462" s="113"/>
      <c r="K462" s="113">
        <v>5083</v>
      </c>
      <c r="L462" s="113">
        <v>12447.808999999999</v>
      </c>
      <c r="M462" s="113"/>
      <c r="N462" s="113">
        <v>9250</v>
      </c>
      <c r="O462" s="113">
        <v>3197.8090000000002</v>
      </c>
      <c r="P462" s="113">
        <v>12447.808999999999</v>
      </c>
      <c r="Q462" s="113"/>
      <c r="R462" s="113">
        <v>9250</v>
      </c>
      <c r="S462" s="113">
        <v>3197.8090000000002</v>
      </c>
      <c r="T462" s="113">
        <v>1597.809</v>
      </c>
      <c r="U462" s="113"/>
      <c r="V462" s="113"/>
      <c r="W462" s="113"/>
      <c r="X462" s="113">
        <v>1597.809</v>
      </c>
      <c r="Y462" s="113">
        <v>1597.809</v>
      </c>
      <c r="Z462" s="113"/>
      <c r="AA462" s="113"/>
      <c r="AB462" s="113"/>
      <c r="AC462" s="113">
        <v>1597.809</v>
      </c>
      <c r="AD462" s="348">
        <f t="shared" ref="AD462:AD496" si="30">Y462/T462</f>
        <v>1</v>
      </c>
      <c r="AE462" s="348"/>
      <c r="AF462" s="348"/>
      <c r="AG462" s="348"/>
      <c r="AH462" s="348">
        <f>AC462/X462</f>
        <v>1</v>
      </c>
    </row>
    <row r="463" spans="1:34" ht="31.5">
      <c r="A463" s="347" t="s">
        <v>23</v>
      </c>
      <c r="B463" s="337" t="s">
        <v>1029</v>
      </c>
      <c r="C463" s="347" t="s">
        <v>265</v>
      </c>
      <c r="D463" s="347"/>
      <c r="E463" s="369" t="s">
        <v>214</v>
      </c>
      <c r="F463" s="369" t="s">
        <v>1030</v>
      </c>
      <c r="G463" s="113">
        <v>7381</v>
      </c>
      <c r="H463" s="113"/>
      <c r="I463" s="113">
        <v>5500</v>
      </c>
      <c r="J463" s="113"/>
      <c r="K463" s="113">
        <v>1000</v>
      </c>
      <c r="L463" s="113">
        <v>3500</v>
      </c>
      <c r="M463" s="113"/>
      <c r="N463" s="113">
        <v>2500</v>
      </c>
      <c r="O463" s="113">
        <v>1000</v>
      </c>
      <c r="P463" s="113">
        <v>3500</v>
      </c>
      <c r="Q463" s="113"/>
      <c r="R463" s="113">
        <v>2500</v>
      </c>
      <c r="S463" s="113">
        <v>1000</v>
      </c>
      <c r="T463" s="113">
        <v>1000</v>
      </c>
      <c r="U463" s="113"/>
      <c r="V463" s="113"/>
      <c r="W463" s="113"/>
      <c r="X463" s="113">
        <v>1000</v>
      </c>
      <c r="Y463" s="113">
        <v>1000</v>
      </c>
      <c r="Z463" s="113"/>
      <c r="AA463" s="113"/>
      <c r="AB463" s="113"/>
      <c r="AC463" s="113">
        <v>1000</v>
      </c>
      <c r="AD463" s="348">
        <f t="shared" si="30"/>
        <v>1</v>
      </c>
      <c r="AE463" s="348"/>
      <c r="AF463" s="348"/>
      <c r="AG463" s="348"/>
      <c r="AH463" s="348">
        <f>AC463/X463</f>
        <v>1</v>
      </c>
    </row>
    <row r="464" spans="1:34" ht="31.5">
      <c r="A464" s="334">
        <v>65</v>
      </c>
      <c r="B464" s="335" t="s">
        <v>190</v>
      </c>
      <c r="C464" s="347"/>
      <c r="D464" s="347"/>
      <c r="E464" s="369"/>
      <c r="F464" s="369"/>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c r="AC464" s="113"/>
      <c r="AD464" s="348"/>
      <c r="AE464" s="348"/>
      <c r="AF464" s="348"/>
      <c r="AG464" s="348"/>
      <c r="AH464" s="348"/>
    </row>
    <row r="465" spans="1:34" ht="63">
      <c r="A465" s="347" t="s">
        <v>23</v>
      </c>
      <c r="B465" s="337" t="s">
        <v>1031</v>
      </c>
      <c r="C465" s="347" t="s">
        <v>600</v>
      </c>
      <c r="D465" s="347"/>
      <c r="E465" s="369" t="s">
        <v>214</v>
      </c>
      <c r="F465" s="369" t="s">
        <v>1032</v>
      </c>
      <c r="G465" s="113">
        <v>983</v>
      </c>
      <c r="H465" s="113"/>
      <c r="I465" s="113"/>
      <c r="J465" s="113"/>
      <c r="K465" s="113">
        <v>983</v>
      </c>
      <c r="L465" s="113">
        <v>68.965999999999994</v>
      </c>
      <c r="M465" s="113"/>
      <c r="N465" s="113"/>
      <c r="O465" s="113">
        <v>68.965999999999994</v>
      </c>
      <c r="P465" s="113">
        <v>850</v>
      </c>
      <c r="Q465" s="113"/>
      <c r="R465" s="113"/>
      <c r="S465" s="113">
        <v>850</v>
      </c>
      <c r="T465" s="113">
        <v>850</v>
      </c>
      <c r="U465" s="113"/>
      <c r="V465" s="113"/>
      <c r="W465" s="113"/>
      <c r="X465" s="113">
        <v>850</v>
      </c>
      <c r="Y465" s="113">
        <v>68.966499999999996</v>
      </c>
      <c r="Z465" s="113"/>
      <c r="AA465" s="113"/>
      <c r="AB465" s="113"/>
      <c r="AC465" s="113">
        <v>68.966499999999996</v>
      </c>
      <c r="AD465" s="348">
        <f t="shared" si="30"/>
        <v>8.1137058823529409E-2</v>
      </c>
      <c r="AE465" s="348"/>
      <c r="AF465" s="348"/>
      <c r="AG465" s="348"/>
      <c r="AH465" s="348">
        <f>AC465/X465</f>
        <v>8.1137058823529409E-2</v>
      </c>
    </row>
    <row r="466" spans="1:34">
      <c r="A466" s="334">
        <v>66</v>
      </c>
      <c r="B466" s="335" t="s">
        <v>191</v>
      </c>
      <c r="C466" s="347"/>
      <c r="D466" s="347"/>
      <c r="E466" s="369"/>
      <c r="F466" s="369"/>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c r="AC466" s="113"/>
      <c r="AD466" s="348"/>
      <c r="AE466" s="348"/>
      <c r="AF466" s="348"/>
      <c r="AG466" s="348"/>
      <c r="AH466" s="348"/>
    </row>
    <row r="467" spans="1:34" ht="31.5">
      <c r="A467" s="347" t="s">
        <v>23</v>
      </c>
      <c r="B467" s="337" t="s">
        <v>1033</v>
      </c>
      <c r="C467" s="347" t="s">
        <v>362</v>
      </c>
      <c r="D467" s="347"/>
      <c r="E467" s="369" t="s">
        <v>378</v>
      </c>
      <c r="F467" s="369" t="s">
        <v>1034</v>
      </c>
      <c r="G467" s="113">
        <v>2500</v>
      </c>
      <c r="H467" s="113"/>
      <c r="I467" s="113"/>
      <c r="J467" s="113"/>
      <c r="K467" s="113">
        <v>2500</v>
      </c>
      <c r="L467" s="113">
        <v>2412.931</v>
      </c>
      <c r="M467" s="113"/>
      <c r="N467" s="113"/>
      <c r="O467" s="113">
        <v>2412.931</v>
      </c>
      <c r="P467" s="113">
        <v>2400</v>
      </c>
      <c r="Q467" s="113"/>
      <c r="R467" s="113"/>
      <c r="S467" s="113">
        <v>2400</v>
      </c>
      <c r="T467" s="113">
        <v>300</v>
      </c>
      <c r="U467" s="113"/>
      <c r="V467" s="113"/>
      <c r="W467" s="113"/>
      <c r="X467" s="113">
        <v>300</v>
      </c>
      <c r="Y467" s="113">
        <v>300</v>
      </c>
      <c r="Z467" s="113"/>
      <c r="AA467" s="113"/>
      <c r="AB467" s="113"/>
      <c r="AC467" s="113">
        <v>300</v>
      </c>
      <c r="AD467" s="348">
        <f t="shared" si="30"/>
        <v>1</v>
      </c>
      <c r="AE467" s="348"/>
      <c r="AF467" s="348"/>
      <c r="AG467" s="348"/>
      <c r="AH467" s="348">
        <f>AC467/X467</f>
        <v>1</v>
      </c>
    </row>
    <row r="468" spans="1:34">
      <c r="A468" s="334">
        <v>67</v>
      </c>
      <c r="B468" s="335" t="s">
        <v>192</v>
      </c>
      <c r="C468" s="347"/>
      <c r="D468" s="347"/>
      <c r="E468" s="369"/>
      <c r="F468" s="369"/>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c r="AC468" s="113"/>
      <c r="AD468" s="348"/>
      <c r="AE468" s="348"/>
      <c r="AF468" s="348"/>
      <c r="AG468" s="348"/>
      <c r="AH468" s="348"/>
    </row>
    <row r="469" spans="1:34" ht="47.25">
      <c r="A469" s="347" t="s">
        <v>23</v>
      </c>
      <c r="B469" s="337" t="s">
        <v>1035</v>
      </c>
      <c r="C469" s="347" t="s">
        <v>213</v>
      </c>
      <c r="D469" s="347"/>
      <c r="E469" s="369" t="s">
        <v>577</v>
      </c>
      <c r="F469" s="369" t="s">
        <v>1036</v>
      </c>
      <c r="G469" s="113">
        <v>2560.1959999999999</v>
      </c>
      <c r="H469" s="113"/>
      <c r="I469" s="113"/>
      <c r="J469" s="113"/>
      <c r="K469" s="113">
        <v>2560.1959999999999</v>
      </c>
      <c r="L469" s="113">
        <v>2456.3200000000002</v>
      </c>
      <c r="M469" s="113"/>
      <c r="N469" s="113"/>
      <c r="O469" s="113">
        <v>2456.3200000000002</v>
      </c>
      <c r="P469" s="113">
        <v>2000</v>
      </c>
      <c r="Q469" s="113"/>
      <c r="R469" s="113"/>
      <c r="S469" s="113">
        <v>2000</v>
      </c>
      <c r="T469" s="113">
        <v>1200</v>
      </c>
      <c r="U469" s="113"/>
      <c r="V469" s="113"/>
      <c r="W469" s="113"/>
      <c r="X469" s="113">
        <v>1200</v>
      </c>
      <c r="Y469" s="113">
        <v>1200</v>
      </c>
      <c r="Z469" s="113"/>
      <c r="AA469" s="113"/>
      <c r="AB469" s="113"/>
      <c r="AC469" s="113">
        <v>1200</v>
      </c>
      <c r="AD469" s="348">
        <f t="shared" si="30"/>
        <v>1</v>
      </c>
      <c r="AE469" s="348"/>
      <c r="AF469" s="348"/>
      <c r="AG469" s="348"/>
      <c r="AH469" s="348">
        <f>AC469/X469</f>
        <v>1</v>
      </c>
    </row>
    <row r="470" spans="1:34" ht="31.5">
      <c r="A470" s="334">
        <v>68</v>
      </c>
      <c r="B470" s="335" t="s">
        <v>193</v>
      </c>
      <c r="C470" s="347"/>
      <c r="D470" s="347"/>
      <c r="E470" s="369"/>
      <c r="F470" s="369"/>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c r="AC470" s="113"/>
      <c r="AD470" s="348"/>
      <c r="AE470" s="348"/>
      <c r="AF470" s="348"/>
      <c r="AG470" s="348"/>
      <c r="AH470" s="348"/>
    </row>
    <row r="471" spans="1:34" ht="135">
      <c r="A471" s="347" t="s">
        <v>23</v>
      </c>
      <c r="B471" s="337" t="s">
        <v>1037</v>
      </c>
      <c r="C471" s="347" t="s">
        <v>427</v>
      </c>
      <c r="D471" s="347"/>
      <c r="E471" s="369" t="s">
        <v>281</v>
      </c>
      <c r="F471" s="369" t="s">
        <v>1038</v>
      </c>
      <c r="G471" s="113">
        <v>184.41</v>
      </c>
      <c r="H471" s="113"/>
      <c r="I471" s="113"/>
      <c r="J471" s="113"/>
      <c r="K471" s="113">
        <v>184.41</v>
      </c>
      <c r="L471" s="113">
        <v>184.41</v>
      </c>
      <c r="M471" s="113"/>
      <c r="N471" s="113"/>
      <c r="O471" s="113">
        <v>184.41</v>
      </c>
      <c r="P471" s="113">
        <v>184.41</v>
      </c>
      <c r="Q471" s="113"/>
      <c r="R471" s="113"/>
      <c r="S471" s="113">
        <v>184.41</v>
      </c>
      <c r="T471" s="113">
        <v>184.41</v>
      </c>
      <c r="U471" s="113"/>
      <c r="V471" s="113"/>
      <c r="W471" s="113"/>
      <c r="X471" s="113">
        <v>184.41</v>
      </c>
      <c r="Y471" s="113">
        <v>184.41</v>
      </c>
      <c r="Z471" s="113"/>
      <c r="AA471" s="113"/>
      <c r="AB471" s="113"/>
      <c r="AC471" s="113">
        <v>184.41</v>
      </c>
      <c r="AD471" s="348">
        <f t="shared" si="30"/>
        <v>1</v>
      </c>
      <c r="AE471" s="348"/>
      <c r="AF471" s="348"/>
      <c r="AG471" s="348"/>
      <c r="AH471" s="348">
        <f>AC471/X471</f>
        <v>1</v>
      </c>
    </row>
    <row r="472" spans="1:34" ht="150">
      <c r="A472" s="347" t="s">
        <v>23</v>
      </c>
      <c r="B472" s="337" t="s">
        <v>1039</v>
      </c>
      <c r="C472" s="347" t="s">
        <v>287</v>
      </c>
      <c r="D472" s="347"/>
      <c r="E472" s="369" t="s">
        <v>214</v>
      </c>
      <c r="F472" s="369" t="s">
        <v>1040</v>
      </c>
      <c r="G472" s="113">
        <v>4437.9809999999998</v>
      </c>
      <c r="H472" s="113"/>
      <c r="I472" s="113"/>
      <c r="J472" s="113"/>
      <c r="K472" s="113">
        <v>4437.9809999999998</v>
      </c>
      <c r="L472" s="113">
        <v>4437.9809999999998</v>
      </c>
      <c r="M472" s="113"/>
      <c r="N472" s="113"/>
      <c r="O472" s="113">
        <v>4437.9809999999998</v>
      </c>
      <c r="P472" s="113">
        <v>4437.9809999999998</v>
      </c>
      <c r="Q472" s="113"/>
      <c r="R472" s="113"/>
      <c r="S472" s="113">
        <v>4437.9809999999998</v>
      </c>
      <c r="T472" s="113">
        <v>4437.9809999999998</v>
      </c>
      <c r="U472" s="113"/>
      <c r="V472" s="113"/>
      <c r="W472" s="113"/>
      <c r="X472" s="113">
        <v>4437.9809999999998</v>
      </c>
      <c r="Y472" s="113">
        <v>0</v>
      </c>
      <c r="Z472" s="113"/>
      <c r="AA472" s="113"/>
      <c r="AB472" s="113"/>
      <c r="AC472" s="113"/>
      <c r="AD472" s="348">
        <f t="shared" si="30"/>
        <v>0</v>
      </c>
      <c r="AE472" s="348"/>
      <c r="AF472" s="348"/>
      <c r="AG472" s="348"/>
      <c r="AH472" s="348">
        <f>AC472/X472</f>
        <v>0</v>
      </c>
    </row>
    <row r="473" spans="1:34" s="346" customFormat="1" ht="31.5">
      <c r="A473" s="334">
        <v>69</v>
      </c>
      <c r="B473" s="335" t="s">
        <v>194</v>
      </c>
      <c r="C473" s="334"/>
      <c r="D473" s="334"/>
      <c r="E473" s="357"/>
      <c r="F473" s="357"/>
      <c r="G473" s="345"/>
      <c r="H473" s="345"/>
      <c r="I473" s="345"/>
      <c r="J473" s="345"/>
      <c r="K473" s="345"/>
      <c r="L473" s="345"/>
      <c r="M473" s="345"/>
      <c r="N473" s="345"/>
      <c r="O473" s="345"/>
      <c r="P473" s="345"/>
      <c r="Q473" s="345"/>
      <c r="R473" s="345"/>
      <c r="S473" s="345"/>
      <c r="T473" s="345"/>
      <c r="U473" s="345"/>
      <c r="V473" s="345"/>
      <c r="W473" s="345"/>
      <c r="X473" s="345"/>
      <c r="Y473" s="345"/>
      <c r="Z473" s="345"/>
      <c r="AA473" s="345"/>
      <c r="AB473" s="345"/>
      <c r="AC473" s="345"/>
      <c r="AD473" s="348"/>
      <c r="AE473" s="348"/>
      <c r="AF473" s="348"/>
      <c r="AG473" s="348"/>
      <c r="AH473" s="348"/>
    </row>
    <row r="474" spans="1:34" ht="47.25">
      <c r="A474" s="347" t="s">
        <v>23</v>
      </c>
      <c r="B474" s="337" t="s">
        <v>1041</v>
      </c>
      <c r="C474" s="347"/>
      <c r="D474" s="347"/>
      <c r="E474" s="369"/>
      <c r="F474" s="369"/>
      <c r="G474" s="113">
        <v>665.42</v>
      </c>
      <c r="H474" s="113"/>
      <c r="I474" s="113"/>
      <c r="J474" s="113"/>
      <c r="K474" s="113"/>
      <c r="L474" s="113"/>
      <c r="M474" s="113"/>
      <c r="N474" s="113"/>
      <c r="O474" s="113"/>
      <c r="P474" s="113"/>
      <c r="Q474" s="113"/>
      <c r="R474" s="113"/>
      <c r="S474" s="113"/>
      <c r="T474" s="113">
        <v>87.52</v>
      </c>
      <c r="U474" s="113"/>
      <c r="V474" s="113"/>
      <c r="W474" s="113"/>
      <c r="X474" s="113">
        <v>87.52</v>
      </c>
      <c r="Y474" s="113">
        <v>87.52</v>
      </c>
      <c r="Z474" s="113"/>
      <c r="AA474" s="113"/>
      <c r="AB474" s="113"/>
      <c r="AC474" s="113">
        <v>87.52</v>
      </c>
      <c r="AD474" s="348">
        <f t="shared" si="30"/>
        <v>1</v>
      </c>
      <c r="AE474" s="348"/>
      <c r="AF474" s="348"/>
      <c r="AG474" s="348"/>
      <c r="AH474" s="348">
        <f>AC474/X474</f>
        <v>1</v>
      </c>
    </row>
    <row r="475" spans="1:34" ht="31.5">
      <c r="A475" s="347" t="s">
        <v>23</v>
      </c>
      <c r="B475" s="337" t="s">
        <v>1042</v>
      </c>
      <c r="C475" s="347"/>
      <c r="D475" s="347"/>
      <c r="E475" s="369"/>
      <c r="F475" s="369" t="s">
        <v>1043</v>
      </c>
      <c r="G475" s="113">
        <v>2138.16</v>
      </c>
      <c r="H475" s="113"/>
      <c r="I475" s="113"/>
      <c r="J475" s="113"/>
      <c r="K475" s="113"/>
      <c r="L475" s="113"/>
      <c r="M475" s="113"/>
      <c r="N475" s="113"/>
      <c r="O475" s="113"/>
      <c r="P475" s="113"/>
      <c r="Q475" s="113"/>
      <c r="R475" s="113"/>
      <c r="S475" s="113"/>
      <c r="T475" s="113">
        <v>207.69300000000001</v>
      </c>
      <c r="U475" s="113"/>
      <c r="V475" s="113"/>
      <c r="W475" s="113"/>
      <c r="X475" s="113">
        <v>207.69300000000001</v>
      </c>
      <c r="Y475" s="113">
        <v>207.69300000000001</v>
      </c>
      <c r="Z475" s="113"/>
      <c r="AA475" s="113"/>
      <c r="AB475" s="113"/>
      <c r="AC475" s="113">
        <v>207.69300000000001</v>
      </c>
      <c r="AD475" s="348">
        <f t="shared" si="30"/>
        <v>1</v>
      </c>
      <c r="AE475" s="348"/>
      <c r="AF475" s="348"/>
      <c r="AG475" s="348"/>
      <c r="AH475" s="348">
        <f>AC475/X475</f>
        <v>1</v>
      </c>
    </row>
    <row r="476" spans="1:34">
      <c r="A476" s="334">
        <v>70</v>
      </c>
      <c r="B476" s="335" t="s">
        <v>195</v>
      </c>
      <c r="C476" s="347"/>
      <c r="D476" s="347"/>
      <c r="E476" s="369"/>
      <c r="F476" s="369"/>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348"/>
      <c r="AE476" s="348"/>
      <c r="AF476" s="348"/>
      <c r="AG476" s="348"/>
      <c r="AH476" s="348"/>
    </row>
    <row r="477" spans="1:34" ht="31.5">
      <c r="A477" s="347" t="s">
        <v>23</v>
      </c>
      <c r="B477" s="337" t="s">
        <v>1044</v>
      </c>
      <c r="C477" s="347" t="s">
        <v>213</v>
      </c>
      <c r="D477" s="347"/>
      <c r="E477" s="369" t="s">
        <v>214</v>
      </c>
      <c r="F477" s="369" t="s">
        <v>1045</v>
      </c>
      <c r="G477" s="113">
        <v>2025</v>
      </c>
      <c r="H477" s="113"/>
      <c r="I477" s="113"/>
      <c r="J477" s="113"/>
      <c r="K477" s="113">
        <v>2025</v>
      </c>
      <c r="L477" s="113">
        <v>951</v>
      </c>
      <c r="M477" s="113"/>
      <c r="N477" s="113"/>
      <c r="O477" s="113">
        <v>951</v>
      </c>
      <c r="P477" s="113">
        <v>2025</v>
      </c>
      <c r="Q477" s="113"/>
      <c r="R477" s="113"/>
      <c r="S477" s="113">
        <v>2025</v>
      </c>
      <c r="T477" s="113">
        <v>2025</v>
      </c>
      <c r="U477" s="113"/>
      <c r="V477" s="113"/>
      <c r="W477" s="113"/>
      <c r="X477" s="113">
        <v>2025</v>
      </c>
      <c r="Y477" s="113">
        <v>890.21</v>
      </c>
      <c r="Z477" s="113"/>
      <c r="AA477" s="113"/>
      <c r="AB477" s="113"/>
      <c r="AC477" s="113">
        <v>890.21</v>
      </c>
      <c r="AD477" s="348">
        <f t="shared" si="30"/>
        <v>0.43960987654320988</v>
      </c>
      <c r="AE477" s="348"/>
      <c r="AF477" s="348"/>
      <c r="AG477" s="348"/>
      <c r="AH477" s="348">
        <f>AC477/X477</f>
        <v>0.43960987654320988</v>
      </c>
    </row>
    <row r="478" spans="1:34" s="346" customFormat="1">
      <c r="A478" s="334">
        <v>71</v>
      </c>
      <c r="B478" s="335" t="s">
        <v>196</v>
      </c>
      <c r="C478" s="334"/>
      <c r="D478" s="334"/>
      <c r="E478" s="357"/>
      <c r="F478" s="357"/>
      <c r="G478" s="345"/>
      <c r="H478" s="345"/>
      <c r="I478" s="345"/>
      <c r="J478" s="345"/>
      <c r="K478" s="345"/>
      <c r="L478" s="345"/>
      <c r="M478" s="345"/>
      <c r="N478" s="345"/>
      <c r="O478" s="345"/>
      <c r="P478" s="345"/>
      <c r="Q478" s="345"/>
      <c r="R478" s="345"/>
      <c r="S478" s="345"/>
      <c r="T478" s="345"/>
      <c r="U478" s="345"/>
      <c r="V478" s="345"/>
      <c r="W478" s="345"/>
      <c r="X478" s="345"/>
      <c r="Y478" s="345"/>
      <c r="Z478" s="345"/>
      <c r="AA478" s="345"/>
      <c r="AB478" s="345"/>
      <c r="AC478" s="345"/>
      <c r="AD478" s="348"/>
      <c r="AE478" s="348"/>
      <c r="AF478" s="348"/>
      <c r="AG478" s="348"/>
      <c r="AH478" s="348"/>
    </row>
    <row r="479" spans="1:34" ht="47.25">
      <c r="A479" s="347" t="s">
        <v>23</v>
      </c>
      <c r="B479" s="337" t="s">
        <v>1046</v>
      </c>
      <c r="C479" s="347" t="s">
        <v>213</v>
      </c>
      <c r="D479" s="347"/>
      <c r="E479" s="369" t="s">
        <v>281</v>
      </c>
      <c r="F479" s="369" t="s">
        <v>1047</v>
      </c>
      <c r="G479" s="113">
        <v>5316.5929999999998</v>
      </c>
      <c r="H479" s="113"/>
      <c r="I479" s="113"/>
      <c r="J479" s="113"/>
      <c r="K479" s="113">
        <v>5316.5929999999998</v>
      </c>
      <c r="L479" s="113">
        <v>5316.5929999999998</v>
      </c>
      <c r="M479" s="113"/>
      <c r="N479" s="113"/>
      <c r="O479" s="113">
        <v>5316.5929999999998</v>
      </c>
      <c r="P479" s="113">
        <v>4347</v>
      </c>
      <c r="Q479" s="113"/>
      <c r="R479" s="113"/>
      <c r="S479" s="113">
        <v>4347</v>
      </c>
      <c r="T479" s="113">
        <v>1347</v>
      </c>
      <c r="U479" s="113"/>
      <c r="V479" s="113"/>
      <c r="W479" s="113"/>
      <c r="X479" s="113">
        <v>1347</v>
      </c>
      <c r="Y479" s="113">
        <v>1347</v>
      </c>
      <c r="Z479" s="113"/>
      <c r="AA479" s="113"/>
      <c r="AB479" s="113"/>
      <c r="AC479" s="113">
        <v>1347</v>
      </c>
      <c r="AD479" s="348">
        <f t="shared" si="30"/>
        <v>1</v>
      </c>
      <c r="AE479" s="348"/>
      <c r="AF479" s="348"/>
      <c r="AG479" s="348"/>
      <c r="AH479" s="348">
        <f>AC479/X479</f>
        <v>1</v>
      </c>
    </row>
    <row r="480" spans="1:34" s="346" customFormat="1">
      <c r="A480" s="334">
        <v>72</v>
      </c>
      <c r="B480" s="335" t="s">
        <v>197</v>
      </c>
      <c r="C480" s="334"/>
      <c r="D480" s="334"/>
      <c r="E480" s="357"/>
      <c r="F480" s="357"/>
      <c r="G480" s="345"/>
      <c r="H480" s="345"/>
      <c r="I480" s="345"/>
      <c r="J480" s="345"/>
      <c r="K480" s="345"/>
      <c r="L480" s="345"/>
      <c r="M480" s="345"/>
      <c r="N480" s="345"/>
      <c r="O480" s="345"/>
      <c r="P480" s="345"/>
      <c r="Q480" s="345"/>
      <c r="R480" s="345"/>
      <c r="S480" s="345"/>
      <c r="T480" s="345"/>
      <c r="U480" s="345"/>
      <c r="V480" s="345"/>
      <c r="W480" s="345"/>
      <c r="X480" s="345"/>
      <c r="Y480" s="345"/>
      <c r="Z480" s="345"/>
      <c r="AA480" s="345"/>
      <c r="AB480" s="345"/>
      <c r="AC480" s="345"/>
      <c r="AD480" s="348"/>
      <c r="AE480" s="348"/>
      <c r="AF480" s="348"/>
      <c r="AG480" s="348"/>
      <c r="AH480" s="348"/>
    </row>
    <row r="481" spans="1:34" ht="31.5">
      <c r="A481" s="347" t="s">
        <v>23</v>
      </c>
      <c r="B481" s="337" t="s">
        <v>1048</v>
      </c>
      <c r="C481" s="347" t="s">
        <v>213</v>
      </c>
      <c r="D481" s="347"/>
      <c r="E481" s="369" t="s">
        <v>561</v>
      </c>
      <c r="F481" s="369" t="s">
        <v>1049</v>
      </c>
      <c r="G481" s="113">
        <v>63243</v>
      </c>
      <c r="H481" s="113"/>
      <c r="I481" s="113"/>
      <c r="J481" s="113"/>
      <c r="K481" s="113">
        <v>63243</v>
      </c>
      <c r="L481" s="113">
        <v>61425</v>
      </c>
      <c r="M481" s="113"/>
      <c r="N481" s="113"/>
      <c r="O481" s="113">
        <v>61425</v>
      </c>
      <c r="P481" s="113">
        <v>58900</v>
      </c>
      <c r="Q481" s="113"/>
      <c r="R481" s="113"/>
      <c r="S481" s="113">
        <v>58900</v>
      </c>
      <c r="T481" s="113">
        <v>800</v>
      </c>
      <c r="U481" s="113"/>
      <c r="V481" s="113"/>
      <c r="W481" s="113"/>
      <c r="X481" s="113">
        <v>800</v>
      </c>
      <c r="Y481" s="113">
        <v>800</v>
      </c>
      <c r="Z481" s="113"/>
      <c r="AA481" s="113"/>
      <c r="AB481" s="113"/>
      <c r="AC481" s="113">
        <v>800</v>
      </c>
      <c r="AD481" s="348">
        <f t="shared" si="30"/>
        <v>1</v>
      </c>
      <c r="AE481" s="348"/>
      <c r="AF481" s="348"/>
      <c r="AG481" s="348"/>
      <c r="AH481" s="348">
        <f>AC481/X481</f>
        <v>1</v>
      </c>
    </row>
    <row r="482" spans="1:34" s="346" customFormat="1">
      <c r="A482" s="334">
        <v>73</v>
      </c>
      <c r="B482" s="335" t="s">
        <v>198</v>
      </c>
      <c r="C482" s="334"/>
      <c r="D482" s="334"/>
      <c r="E482" s="357"/>
      <c r="F482" s="357"/>
      <c r="G482" s="345"/>
      <c r="H482" s="345"/>
      <c r="I482" s="345"/>
      <c r="J482" s="345"/>
      <c r="K482" s="345"/>
      <c r="L482" s="345"/>
      <c r="M482" s="345"/>
      <c r="N482" s="345"/>
      <c r="O482" s="345"/>
      <c r="P482" s="345"/>
      <c r="Q482" s="345"/>
      <c r="R482" s="345"/>
      <c r="S482" s="345"/>
      <c r="T482" s="345"/>
      <c r="U482" s="345"/>
      <c r="V482" s="345"/>
      <c r="W482" s="345"/>
      <c r="X482" s="345"/>
      <c r="Y482" s="345"/>
      <c r="Z482" s="345"/>
      <c r="AA482" s="345"/>
      <c r="AB482" s="345"/>
      <c r="AC482" s="345"/>
      <c r="AD482" s="348"/>
      <c r="AE482" s="348"/>
      <c r="AF482" s="348"/>
      <c r="AG482" s="348"/>
      <c r="AH482" s="348"/>
    </row>
    <row r="483" spans="1:34" ht="31.5">
      <c r="A483" s="347" t="s">
        <v>23</v>
      </c>
      <c r="B483" s="337" t="s">
        <v>1050</v>
      </c>
      <c r="C483" s="347" t="s">
        <v>213</v>
      </c>
      <c r="D483" s="347"/>
      <c r="E483" s="369" t="s">
        <v>839</v>
      </c>
      <c r="F483" s="369" t="s">
        <v>1051</v>
      </c>
      <c r="G483" s="113">
        <v>6030</v>
      </c>
      <c r="H483" s="113"/>
      <c r="I483" s="113"/>
      <c r="J483" s="113"/>
      <c r="K483" s="113">
        <v>6030</v>
      </c>
      <c r="L483" s="113">
        <v>5952</v>
      </c>
      <c r="M483" s="113"/>
      <c r="N483" s="113"/>
      <c r="O483" s="113">
        <v>5952</v>
      </c>
      <c r="P483" s="113">
        <v>5952</v>
      </c>
      <c r="Q483" s="113"/>
      <c r="R483" s="113"/>
      <c r="S483" s="113">
        <v>5952</v>
      </c>
      <c r="T483" s="113">
        <v>2352</v>
      </c>
      <c r="U483" s="113"/>
      <c r="V483" s="113"/>
      <c r="W483" s="113"/>
      <c r="X483" s="113">
        <v>2352</v>
      </c>
      <c r="Y483" s="113">
        <v>2352</v>
      </c>
      <c r="Z483" s="113"/>
      <c r="AA483" s="113"/>
      <c r="AB483" s="113"/>
      <c r="AC483" s="113">
        <v>2352</v>
      </c>
      <c r="AD483" s="348">
        <f t="shared" si="30"/>
        <v>1</v>
      </c>
      <c r="AE483" s="348"/>
      <c r="AF483" s="348"/>
      <c r="AG483" s="348"/>
      <c r="AH483" s="348">
        <f>AC483/X483</f>
        <v>1</v>
      </c>
    </row>
    <row r="484" spans="1:34" ht="31.5">
      <c r="A484" s="347" t="s">
        <v>23</v>
      </c>
      <c r="B484" s="337" t="s">
        <v>1052</v>
      </c>
      <c r="C484" s="347" t="s">
        <v>213</v>
      </c>
      <c r="D484" s="347"/>
      <c r="E484" s="369" t="s">
        <v>214</v>
      </c>
      <c r="F484" s="369" t="s">
        <v>1053</v>
      </c>
      <c r="G484" s="113">
        <v>5926</v>
      </c>
      <c r="H484" s="113"/>
      <c r="I484" s="113"/>
      <c r="J484" s="113"/>
      <c r="K484" s="113">
        <v>5926</v>
      </c>
      <c r="L484" s="113">
        <v>3000</v>
      </c>
      <c r="M484" s="113"/>
      <c r="N484" s="113"/>
      <c r="O484" s="113">
        <v>3000</v>
      </c>
      <c r="P484" s="113">
        <v>3000</v>
      </c>
      <c r="Q484" s="113"/>
      <c r="R484" s="113"/>
      <c r="S484" s="113">
        <v>3000</v>
      </c>
      <c r="T484" s="113">
        <v>3000</v>
      </c>
      <c r="U484" s="113"/>
      <c r="V484" s="113"/>
      <c r="W484" s="113"/>
      <c r="X484" s="113">
        <v>3000</v>
      </c>
      <c r="Y484" s="113">
        <v>276.49200000000002</v>
      </c>
      <c r="Z484" s="113"/>
      <c r="AA484" s="113"/>
      <c r="AB484" s="113"/>
      <c r="AC484" s="113">
        <v>276.49200000000002</v>
      </c>
      <c r="AD484" s="348">
        <f t="shared" si="30"/>
        <v>9.216400000000001E-2</v>
      </c>
      <c r="AE484" s="348"/>
      <c r="AF484" s="348"/>
      <c r="AG484" s="348"/>
      <c r="AH484" s="348">
        <f>AC484/X484</f>
        <v>9.216400000000001E-2</v>
      </c>
    </row>
    <row r="485" spans="1:34" s="346" customFormat="1">
      <c r="A485" s="334">
        <v>74</v>
      </c>
      <c r="B485" s="335" t="s">
        <v>199</v>
      </c>
      <c r="C485" s="334"/>
      <c r="D485" s="334"/>
      <c r="E485" s="357"/>
      <c r="F485" s="357"/>
      <c r="G485" s="345"/>
      <c r="H485" s="345"/>
      <c r="I485" s="345"/>
      <c r="J485" s="345"/>
      <c r="K485" s="345"/>
      <c r="L485" s="345"/>
      <c r="M485" s="345"/>
      <c r="N485" s="345"/>
      <c r="O485" s="345"/>
      <c r="P485" s="345"/>
      <c r="Q485" s="345"/>
      <c r="R485" s="345"/>
      <c r="S485" s="345"/>
      <c r="T485" s="345"/>
      <c r="U485" s="345"/>
      <c r="V485" s="345"/>
      <c r="W485" s="345"/>
      <c r="X485" s="345"/>
      <c r="Y485" s="345"/>
      <c r="Z485" s="345"/>
      <c r="AA485" s="345"/>
      <c r="AB485" s="345"/>
      <c r="AC485" s="345"/>
      <c r="AD485" s="348"/>
      <c r="AE485" s="348"/>
      <c r="AF485" s="348"/>
      <c r="AG485" s="348"/>
      <c r="AH485" s="348"/>
    </row>
    <row r="486" spans="1:34" ht="31.5">
      <c r="A486" s="347" t="s">
        <v>23</v>
      </c>
      <c r="B486" s="337" t="s">
        <v>1054</v>
      </c>
      <c r="C486" s="347" t="s">
        <v>213</v>
      </c>
      <c r="D486" s="347"/>
      <c r="E486" s="369" t="s">
        <v>498</v>
      </c>
      <c r="F486" s="369" t="s">
        <v>1055</v>
      </c>
      <c r="G486" s="113">
        <v>75729</v>
      </c>
      <c r="H486" s="113"/>
      <c r="I486" s="113">
        <v>50000</v>
      </c>
      <c r="J486" s="113"/>
      <c r="K486" s="113">
        <v>25729</v>
      </c>
      <c r="L486" s="113">
        <v>53681.288999999997</v>
      </c>
      <c r="M486" s="113"/>
      <c r="N486" s="113">
        <v>49447</v>
      </c>
      <c r="O486" s="113">
        <v>4234.2889999999998</v>
      </c>
      <c r="P486" s="113">
        <v>53447</v>
      </c>
      <c r="Q486" s="113"/>
      <c r="R486" s="113">
        <v>49447</v>
      </c>
      <c r="S486" s="113">
        <v>4000</v>
      </c>
      <c r="T486" s="113">
        <v>9538.3070000000007</v>
      </c>
      <c r="U486" s="113"/>
      <c r="V486" s="113">
        <v>9500.3070000000007</v>
      </c>
      <c r="W486" s="113"/>
      <c r="X486" s="113">
        <f>T486-V486</f>
        <v>38</v>
      </c>
      <c r="Y486" s="113">
        <v>9538.3070000000007</v>
      </c>
      <c r="Z486" s="113"/>
      <c r="AA486" s="113">
        <v>9500.3070000000007</v>
      </c>
      <c r="AB486" s="113"/>
      <c r="AC486" s="113">
        <v>38</v>
      </c>
      <c r="AD486" s="348">
        <f t="shared" si="30"/>
        <v>1</v>
      </c>
      <c r="AE486" s="348"/>
      <c r="AF486" s="348">
        <f t="shared" ref="AF486" si="31">AA486/V486</f>
        <v>1</v>
      </c>
      <c r="AG486" s="348"/>
      <c r="AH486" s="348">
        <f>AC486/X486</f>
        <v>1</v>
      </c>
    </row>
    <row r="487" spans="1:34" ht="47.25">
      <c r="A487" s="347" t="s">
        <v>23</v>
      </c>
      <c r="B487" s="337" t="s">
        <v>1056</v>
      </c>
      <c r="C487" s="347" t="s">
        <v>213</v>
      </c>
      <c r="D487" s="347"/>
      <c r="E487" s="373" t="s">
        <v>363</v>
      </c>
      <c r="F487" s="369" t="s">
        <v>1057</v>
      </c>
      <c r="G487" s="113">
        <v>4605</v>
      </c>
      <c r="H487" s="113"/>
      <c r="I487" s="113"/>
      <c r="J487" s="113"/>
      <c r="K487" s="113">
        <v>4605</v>
      </c>
      <c r="L487" s="113">
        <v>4486.7809999999999</v>
      </c>
      <c r="M487" s="113"/>
      <c r="N487" s="113"/>
      <c r="O487" s="113"/>
      <c r="P487" s="113">
        <v>4430.4440000000004</v>
      </c>
      <c r="Q487" s="113"/>
      <c r="R487" s="113"/>
      <c r="S487" s="113">
        <v>4430.4440000000004</v>
      </c>
      <c r="T487" s="113">
        <v>640.74670000000003</v>
      </c>
      <c r="U487" s="113"/>
      <c r="V487" s="113"/>
      <c r="W487" s="113"/>
      <c r="X487" s="113">
        <v>640.74670000000003</v>
      </c>
      <c r="Y487" s="113">
        <v>640.74670000000003</v>
      </c>
      <c r="Z487" s="113"/>
      <c r="AA487" s="113"/>
      <c r="AB487" s="113"/>
      <c r="AC487" s="113">
        <v>640.74670000000003</v>
      </c>
      <c r="AD487" s="348">
        <f t="shared" si="30"/>
        <v>1</v>
      </c>
      <c r="AE487" s="348"/>
      <c r="AF487" s="348"/>
      <c r="AG487" s="348"/>
      <c r="AH487" s="348">
        <f>AC487/X487</f>
        <v>1</v>
      </c>
    </row>
    <row r="488" spans="1:34" s="346" customFormat="1">
      <c r="A488" s="334">
        <v>75</v>
      </c>
      <c r="B488" s="335" t="s">
        <v>200</v>
      </c>
      <c r="C488" s="334"/>
      <c r="D488" s="334"/>
      <c r="E488" s="357"/>
      <c r="F488" s="357"/>
      <c r="G488" s="345"/>
      <c r="H488" s="345"/>
      <c r="I488" s="345"/>
      <c r="J488" s="345"/>
      <c r="K488" s="345"/>
      <c r="L488" s="345"/>
      <c r="M488" s="345"/>
      <c r="N488" s="345"/>
      <c r="O488" s="345"/>
      <c r="P488" s="345"/>
      <c r="Q488" s="345"/>
      <c r="R488" s="345"/>
      <c r="S488" s="345"/>
      <c r="T488" s="345"/>
      <c r="U488" s="345"/>
      <c r="V488" s="345"/>
      <c r="W488" s="345"/>
      <c r="X488" s="345"/>
      <c r="Y488" s="345"/>
      <c r="Z488" s="345"/>
      <c r="AA488" s="345"/>
      <c r="AB488" s="345"/>
      <c r="AC488" s="345"/>
      <c r="AD488" s="348"/>
      <c r="AE488" s="348"/>
      <c r="AF488" s="348"/>
      <c r="AG488" s="348"/>
      <c r="AH488" s="348"/>
    </row>
    <row r="489" spans="1:34" ht="47.25">
      <c r="A489" s="347" t="s">
        <v>23</v>
      </c>
      <c r="B489" s="337" t="s">
        <v>1058</v>
      </c>
      <c r="C489" s="347" t="s">
        <v>213</v>
      </c>
      <c r="D489" s="347"/>
      <c r="E489" s="369" t="s">
        <v>281</v>
      </c>
      <c r="F489" s="369" t="s">
        <v>1059</v>
      </c>
      <c r="G489" s="113">
        <v>3823</v>
      </c>
      <c r="H489" s="113"/>
      <c r="I489" s="113"/>
      <c r="J489" s="113"/>
      <c r="K489" s="113">
        <v>3823</v>
      </c>
      <c r="L489" s="113">
        <v>2950</v>
      </c>
      <c r="M489" s="113"/>
      <c r="N489" s="113"/>
      <c r="O489" s="113">
        <v>2950</v>
      </c>
      <c r="P489" s="113">
        <v>2700</v>
      </c>
      <c r="Q489" s="113"/>
      <c r="R489" s="113"/>
      <c r="S489" s="113">
        <v>2700</v>
      </c>
      <c r="T489" s="113">
        <v>1300</v>
      </c>
      <c r="U489" s="113"/>
      <c r="V489" s="113"/>
      <c r="W489" s="113"/>
      <c r="X489" s="113">
        <v>1300</v>
      </c>
      <c r="Y489" s="113">
        <v>1300</v>
      </c>
      <c r="Z489" s="113"/>
      <c r="AA489" s="113"/>
      <c r="AB489" s="113"/>
      <c r="AC489" s="113">
        <v>1300</v>
      </c>
      <c r="AD489" s="348">
        <f t="shared" si="30"/>
        <v>1</v>
      </c>
      <c r="AE489" s="348"/>
      <c r="AF489" s="348"/>
      <c r="AG489" s="348"/>
      <c r="AH489" s="348">
        <f>AC489/X489</f>
        <v>1</v>
      </c>
    </row>
    <row r="490" spans="1:34" s="346" customFormat="1">
      <c r="A490" s="334">
        <v>76</v>
      </c>
      <c r="B490" s="335" t="s">
        <v>107</v>
      </c>
      <c r="C490" s="334"/>
      <c r="D490" s="334"/>
      <c r="E490" s="357"/>
      <c r="F490" s="357"/>
      <c r="G490" s="345"/>
      <c r="H490" s="345"/>
      <c r="I490" s="345"/>
      <c r="J490" s="345"/>
      <c r="K490" s="345"/>
      <c r="L490" s="345"/>
      <c r="M490" s="345"/>
      <c r="N490" s="345"/>
      <c r="O490" s="345"/>
      <c r="P490" s="345"/>
      <c r="Q490" s="345"/>
      <c r="R490" s="345"/>
      <c r="S490" s="345"/>
      <c r="T490" s="345"/>
      <c r="U490" s="345"/>
      <c r="V490" s="345"/>
      <c r="W490" s="345"/>
      <c r="X490" s="345"/>
      <c r="Y490" s="345"/>
      <c r="Z490" s="345"/>
      <c r="AA490" s="345"/>
      <c r="AB490" s="345"/>
      <c r="AC490" s="345"/>
      <c r="AD490" s="348"/>
      <c r="AE490" s="348"/>
      <c r="AF490" s="348"/>
      <c r="AG490" s="348"/>
      <c r="AH490" s="348"/>
    </row>
    <row r="491" spans="1:34" ht="31.5">
      <c r="A491" s="347" t="s">
        <v>23</v>
      </c>
      <c r="B491" s="337" t="s">
        <v>1060</v>
      </c>
      <c r="C491" s="347" t="s">
        <v>213</v>
      </c>
      <c r="D491" s="347"/>
      <c r="E491" s="369" t="s">
        <v>218</v>
      </c>
      <c r="F491" s="369" t="s">
        <v>1061</v>
      </c>
      <c r="G491" s="113">
        <v>15830.83</v>
      </c>
      <c r="H491" s="113"/>
      <c r="I491" s="113"/>
      <c r="J491" s="113"/>
      <c r="K491" s="113">
        <v>15830.83</v>
      </c>
      <c r="L491" s="113">
        <v>14807.82</v>
      </c>
      <c r="M491" s="113"/>
      <c r="N491" s="113"/>
      <c r="O491" s="113">
        <v>14807.82</v>
      </c>
      <c r="P491" s="113">
        <v>13050</v>
      </c>
      <c r="Q491" s="113"/>
      <c r="R491" s="113"/>
      <c r="S491" s="113">
        <v>13050</v>
      </c>
      <c r="T491" s="113">
        <v>12766.5762</v>
      </c>
      <c r="U491" s="113"/>
      <c r="V491" s="113"/>
      <c r="W491" s="113"/>
      <c r="X491" s="113">
        <v>12766.5762</v>
      </c>
      <c r="Y491" s="113">
        <v>12735.060025000001</v>
      </c>
      <c r="Z491" s="113"/>
      <c r="AA491" s="113"/>
      <c r="AB491" s="113"/>
      <c r="AC491" s="113">
        <v>12735.060025000001</v>
      </c>
      <c r="AD491" s="348">
        <f t="shared" si="30"/>
        <v>0.99753135261120374</v>
      </c>
      <c r="AE491" s="348"/>
      <c r="AF491" s="348"/>
      <c r="AG491" s="348"/>
      <c r="AH491" s="348">
        <f>AC491/X491</f>
        <v>0.99753135261120374</v>
      </c>
    </row>
    <row r="492" spans="1:34" ht="47.25">
      <c r="A492" s="347" t="s">
        <v>23</v>
      </c>
      <c r="B492" s="337" t="s">
        <v>1062</v>
      </c>
      <c r="C492" s="347" t="s">
        <v>213</v>
      </c>
      <c r="D492" s="347"/>
      <c r="E492" s="369" t="s">
        <v>281</v>
      </c>
      <c r="F492" s="369" t="s">
        <v>1063</v>
      </c>
      <c r="G492" s="113">
        <v>9500</v>
      </c>
      <c r="H492" s="113"/>
      <c r="I492" s="113"/>
      <c r="J492" s="113"/>
      <c r="K492" s="113">
        <v>9500</v>
      </c>
      <c r="L492" s="113">
        <v>9248.2099999999991</v>
      </c>
      <c r="M492" s="113"/>
      <c r="N492" s="113"/>
      <c r="O492" s="113">
        <v>9248.2099999999991</v>
      </c>
      <c r="P492" s="113">
        <v>7462</v>
      </c>
      <c r="Q492" s="113"/>
      <c r="R492" s="113"/>
      <c r="S492" s="113">
        <v>7462</v>
      </c>
      <c r="T492" s="113">
        <v>4962</v>
      </c>
      <c r="U492" s="113"/>
      <c r="V492" s="113"/>
      <c r="W492" s="113"/>
      <c r="X492" s="113">
        <v>4962</v>
      </c>
      <c r="Y492" s="113">
        <v>4962</v>
      </c>
      <c r="Z492" s="113"/>
      <c r="AA492" s="113"/>
      <c r="AB492" s="113"/>
      <c r="AC492" s="113">
        <v>4962</v>
      </c>
      <c r="AD492" s="348">
        <f t="shared" si="30"/>
        <v>1</v>
      </c>
      <c r="AE492" s="348"/>
      <c r="AF492" s="348"/>
      <c r="AG492" s="348"/>
      <c r="AH492" s="348">
        <f>AC492/X492</f>
        <v>1</v>
      </c>
    </row>
    <row r="493" spans="1:34" s="346" customFormat="1">
      <c r="A493" s="334">
        <v>77</v>
      </c>
      <c r="B493" s="335" t="s">
        <v>201</v>
      </c>
      <c r="C493" s="334"/>
      <c r="D493" s="334"/>
      <c r="E493" s="357"/>
      <c r="F493" s="357"/>
      <c r="G493" s="345"/>
      <c r="H493" s="345"/>
      <c r="I493" s="345"/>
      <c r="J493" s="345"/>
      <c r="K493" s="345"/>
      <c r="L493" s="345"/>
      <c r="M493" s="345"/>
      <c r="N493" s="345"/>
      <c r="O493" s="345"/>
      <c r="P493" s="345"/>
      <c r="Q493" s="345"/>
      <c r="R493" s="345"/>
      <c r="S493" s="345"/>
      <c r="T493" s="345"/>
      <c r="U493" s="345"/>
      <c r="V493" s="345"/>
      <c r="W493" s="345"/>
      <c r="X493" s="345"/>
      <c r="Y493" s="345"/>
      <c r="Z493" s="345"/>
      <c r="AA493" s="345"/>
      <c r="AB493" s="345"/>
      <c r="AC493" s="345"/>
      <c r="AD493" s="348"/>
      <c r="AE493" s="348"/>
      <c r="AF493" s="348"/>
      <c r="AG493" s="348"/>
      <c r="AH493" s="348"/>
    </row>
    <row r="494" spans="1:34" ht="31.5">
      <c r="A494" s="347" t="s">
        <v>23</v>
      </c>
      <c r="B494" s="337" t="s">
        <v>1064</v>
      </c>
      <c r="C494" s="347"/>
      <c r="D494" s="347"/>
      <c r="E494" s="369"/>
      <c r="F494" s="369">
        <v>140</v>
      </c>
      <c r="G494" s="113">
        <v>68976</v>
      </c>
      <c r="H494" s="113"/>
      <c r="I494" s="113">
        <f>G494-K494</f>
        <v>55976</v>
      </c>
      <c r="J494" s="113"/>
      <c r="K494" s="113">
        <v>13000</v>
      </c>
      <c r="L494" s="113"/>
      <c r="M494" s="113"/>
      <c r="N494" s="113"/>
      <c r="O494" s="113"/>
      <c r="P494" s="113">
        <v>11000</v>
      </c>
      <c r="Q494" s="113"/>
      <c r="R494" s="113">
        <f>P494-S494</f>
        <v>4500</v>
      </c>
      <c r="S494" s="113">
        <v>6500</v>
      </c>
      <c r="T494" s="113">
        <v>6500</v>
      </c>
      <c r="U494" s="113"/>
      <c r="V494" s="113"/>
      <c r="W494" s="113"/>
      <c r="X494" s="113">
        <v>6500</v>
      </c>
      <c r="Y494" s="113">
        <v>0</v>
      </c>
      <c r="Z494" s="113"/>
      <c r="AA494" s="113"/>
      <c r="AB494" s="113"/>
      <c r="AC494" s="113">
        <v>0</v>
      </c>
      <c r="AD494" s="348">
        <f t="shared" si="30"/>
        <v>0</v>
      </c>
      <c r="AE494" s="348"/>
      <c r="AF494" s="348"/>
      <c r="AG494" s="348"/>
      <c r="AH494" s="348">
        <f>AC494/X494</f>
        <v>0</v>
      </c>
    </row>
    <row r="495" spans="1:34" s="346" customFormat="1" ht="31.5">
      <c r="A495" s="334">
        <v>78</v>
      </c>
      <c r="B495" s="335" t="s">
        <v>202</v>
      </c>
      <c r="C495" s="334"/>
      <c r="D495" s="334"/>
      <c r="E495" s="357"/>
      <c r="F495" s="357"/>
      <c r="G495" s="345"/>
      <c r="H495" s="345"/>
      <c r="I495" s="345"/>
      <c r="J495" s="345"/>
      <c r="K495" s="345"/>
      <c r="L495" s="345"/>
      <c r="M495" s="345"/>
      <c r="N495" s="345"/>
      <c r="O495" s="345"/>
      <c r="P495" s="345"/>
      <c r="Q495" s="345"/>
      <c r="R495" s="345"/>
      <c r="S495" s="345"/>
      <c r="T495" s="345"/>
      <c r="U495" s="345"/>
      <c r="V495" s="345"/>
      <c r="W495" s="345"/>
      <c r="X495" s="345"/>
      <c r="Y495" s="345"/>
      <c r="Z495" s="345"/>
      <c r="AA495" s="345"/>
      <c r="AB495" s="345"/>
      <c r="AC495" s="345"/>
      <c r="AD495" s="348"/>
      <c r="AE495" s="348"/>
      <c r="AF495" s="348"/>
      <c r="AG495" s="348"/>
      <c r="AH495" s="348"/>
    </row>
    <row r="496" spans="1:34" ht="63">
      <c r="A496" s="353" t="s">
        <v>23</v>
      </c>
      <c r="B496" s="339" t="s">
        <v>1065</v>
      </c>
      <c r="C496" s="353" t="s">
        <v>213</v>
      </c>
      <c r="D496" s="353"/>
      <c r="E496" s="371" t="s">
        <v>218</v>
      </c>
      <c r="F496" s="371" t="s">
        <v>1066</v>
      </c>
      <c r="G496" s="354">
        <v>1831</v>
      </c>
      <c r="H496" s="354"/>
      <c r="I496" s="354"/>
      <c r="J496" s="354"/>
      <c r="K496" s="354">
        <v>1831</v>
      </c>
      <c r="L496" s="354">
        <v>63</v>
      </c>
      <c r="M496" s="354"/>
      <c r="N496" s="354"/>
      <c r="O496" s="354">
        <v>63</v>
      </c>
      <c r="P496" s="354">
        <v>600</v>
      </c>
      <c r="Q496" s="354"/>
      <c r="R496" s="354"/>
      <c r="S496" s="354">
        <v>600</v>
      </c>
      <c r="T496" s="354">
        <v>600</v>
      </c>
      <c r="U496" s="354"/>
      <c r="V496" s="354"/>
      <c r="W496" s="354"/>
      <c r="X496" s="354">
        <v>600</v>
      </c>
      <c r="Y496" s="354">
        <v>57.417999999999999</v>
      </c>
      <c r="Z496" s="354"/>
      <c r="AA496" s="354"/>
      <c r="AB496" s="354"/>
      <c r="AC496" s="354">
        <v>57.417999999999999</v>
      </c>
      <c r="AD496" s="355">
        <f t="shared" si="30"/>
        <v>9.5696666666666666E-2</v>
      </c>
      <c r="AE496" s="355"/>
      <c r="AF496" s="355"/>
      <c r="AG496" s="355"/>
      <c r="AH496" s="355">
        <f>AC496/X496</f>
        <v>9.5696666666666666E-2</v>
      </c>
    </row>
    <row r="497" spans="5:34" s="340" customFormat="1" ht="36" customHeight="1">
      <c r="E497" s="372"/>
      <c r="F497" s="372"/>
      <c r="G497" s="356"/>
      <c r="H497" s="356"/>
      <c r="I497" s="356"/>
      <c r="J497" s="356"/>
      <c r="K497" s="356"/>
      <c r="L497" s="356"/>
      <c r="M497" s="356"/>
      <c r="N497" s="356"/>
      <c r="O497" s="356"/>
      <c r="P497" s="356"/>
      <c r="Q497" s="356"/>
      <c r="R497" s="356"/>
      <c r="S497" s="356"/>
      <c r="T497" s="356"/>
      <c r="U497" s="356"/>
      <c r="V497" s="356"/>
      <c r="W497" s="356"/>
      <c r="X497" s="356"/>
      <c r="Y497" s="356"/>
      <c r="Z497" s="356"/>
      <c r="AA497" s="356"/>
      <c r="AB497" s="356"/>
      <c r="AC497" s="356"/>
      <c r="AD497" s="329"/>
      <c r="AE497" s="329"/>
      <c r="AF497" s="329"/>
      <c r="AG497" s="329"/>
      <c r="AH497" s="329"/>
    </row>
  </sheetData>
  <mergeCells count="33">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 ref="L7:O8"/>
    <mergeCell ref="P7:S8"/>
    <mergeCell ref="T7:X8"/>
    <mergeCell ref="Y7:AC8"/>
    <mergeCell ref="A7:A10"/>
    <mergeCell ref="B7:B10"/>
    <mergeCell ref="C7:C10"/>
    <mergeCell ref="D7:D10"/>
    <mergeCell ref="E7:E10"/>
    <mergeCell ref="AD1:AG1"/>
    <mergeCell ref="AD2:AG3"/>
    <mergeCell ref="V6:X6"/>
    <mergeCell ref="Q6:S6"/>
    <mergeCell ref="AF6:AH6"/>
    <mergeCell ref="Q2:S3"/>
    <mergeCell ref="Q1:S1"/>
    <mergeCell ref="A4:AH4"/>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94" customWidth="1"/>
    <col min="2" max="2" width="34.140625" style="94" customWidth="1"/>
    <col min="3" max="3" width="17.5703125" style="94" customWidth="1"/>
    <col min="4" max="4" width="13.85546875" style="94" customWidth="1"/>
    <col min="5" max="5" width="13" style="94" customWidth="1"/>
    <col min="6" max="6" width="14.140625" style="94" customWidth="1"/>
    <col min="7" max="7" width="10" style="94" customWidth="1"/>
    <col min="8" max="8" width="12.42578125" style="94" customWidth="1"/>
    <col min="9" max="9" width="11.42578125" style="94" customWidth="1"/>
    <col min="10" max="10" width="13.85546875" style="94" customWidth="1"/>
    <col min="11" max="11" width="13.28515625" style="94" customWidth="1"/>
    <col min="12" max="12" width="13" style="94" customWidth="1"/>
    <col min="13" max="13" width="10.85546875" style="94" customWidth="1"/>
    <col min="14" max="16384" width="9.140625" style="94"/>
  </cols>
  <sheetData>
    <row r="1" spans="1:14" ht="15.75">
      <c r="A1" s="248"/>
      <c r="H1" s="471" t="s">
        <v>74</v>
      </c>
      <c r="I1" s="471"/>
      <c r="J1" s="471"/>
    </row>
    <row r="2" spans="1:14" ht="15" customHeight="1">
      <c r="H2" s="470" t="s">
        <v>104</v>
      </c>
      <c r="I2" s="470"/>
      <c r="J2" s="470"/>
    </row>
    <row r="3" spans="1:14" ht="15.75" customHeight="1">
      <c r="H3" s="470"/>
      <c r="I3" s="470"/>
      <c r="J3" s="470"/>
    </row>
    <row r="4" spans="1:14" ht="15.75" customHeight="1">
      <c r="A4" s="472" t="s">
        <v>1219</v>
      </c>
      <c r="B4" s="472"/>
      <c r="C4" s="472"/>
      <c r="D4" s="472"/>
      <c r="E4" s="472"/>
      <c r="F4" s="472"/>
      <c r="G4" s="472"/>
      <c r="H4" s="472"/>
      <c r="I4" s="472"/>
      <c r="J4" s="472"/>
    </row>
    <row r="5" spans="1:14" ht="12.75" customHeight="1">
      <c r="A5" s="472"/>
      <c r="B5" s="472"/>
      <c r="C5" s="472"/>
      <c r="D5" s="472"/>
      <c r="E5" s="472"/>
      <c r="F5" s="472"/>
      <c r="G5" s="472"/>
      <c r="H5" s="472"/>
      <c r="I5" s="472"/>
      <c r="J5" s="249"/>
    </row>
    <row r="6" spans="1:14" ht="15.75">
      <c r="H6" s="475" t="s">
        <v>1218</v>
      </c>
      <c r="I6" s="475"/>
      <c r="J6" s="475"/>
    </row>
    <row r="7" spans="1:14" ht="15.75">
      <c r="A7" s="473" t="s">
        <v>1</v>
      </c>
      <c r="B7" s="473" t="s">
        <v>52</v>
      </c>
      <c r="C7" s="473" t="s">
        <v>75</v>
      </c>
      <c r="D7" s="474" t="s">
        <v>18</v>
      </c>
      <c r="E7" s="474"/>
      <c r="F7" s="474"/>
      <c r="G7" s="474"/>
      <c r="H7" s="474"/>
      <c r="I7" s="474"/>
      <c r="J7" s="474"/>
      <c r="K7" s="250"/>
    </row>
    <row r="8" spans="1:14" ht="78.75">
      <c r="A8" s="473"/>
      <c r="B8" s="473"/>
      <c r="C8" s="473"/>
      <c r="D8" s="246" t="s">
        <v>76</v>
      </c>
      <c r="E8" s="251" t="s">
        <v>77</v>
      </c>
      <c r="F8" s="246" t="s">
        <v>1415</v>
      </c>
      <c r="G8" s="246" t="s">
        <v>78</v>
      </c>
      <c r="H8" s="246" t="s">
        <v>27</v>
      </c>
      <c r="I8" s="246" t="s">
        <v>79</v>
      </c>
      <c r="J8" s="246" t="s">
        <v>1422</v>
      </c>
      <c r="K8" s="252"/>
    </row>
    <row r="9" spans="1:14" ht="15.75">
      <c r="A9" s="246" t="s">
        <v>3</v>
      </c>
      <c r="B9" s="246" t="s">
        <v>4</v>
      </c>
      <c r="C9" s="246" t="s">
        <v>1423</v>
      </c>
      <c r="D9" s="246">
        <v>2</v>
      </c>
      <c r="E9" s="246">
        <v>3</v>
      </c>
      <c r="F9" s="246">
        <v>4</v>
      </c>
      <c r="G9" s="246">
        <v>5</v>
      </c>
      <c r="H9" s="246">
        <v>6</v>
      </c>
      <c r="I9" s="246">
        <v>7</v>
      </c>
      <c r="J9" s="246">
        <v>8</v>
      </c>
    </row>
    <row r="10" spans="1:14" s="258" customFormat="1" ht="20.25" customHeight="1">
      <c r="A10" s="253"/>
      <c r="B10" s="253" t="s">
        <v>53</v>
      </c>
      <c r="C10" s="254">
        <f>SUM(C11:C28)</f>
        <v>15212171.609818999</v>
      </c>
      <c r="D10" s="255">
        <f t="shared" ref="D10:I10" si="0">SUM(D11:D28)</f>
        <v>4162690.7319999998</v>
      </c>
      <c r="E10" s="255">
        <f t="shared" si="0"/>
        <v>2775849</v>
      </c>
      <c r="F10" s="255">
        <f>SUM(F11:F28)</f>
        <v>4879016.2856530007</v>
      </c>
      <c r="G10" s="255">
        <f t="shared" si="0"/>
        <v>0</v>
      </c>
      <c r="H10" s="255">
        <f t="shared" si="0"/>
        <v>2292056.3566779997</v>
      </c>
      <c r="I10" s="255">
        <f t="shared" si="0"/>
        <v>1084612.2354879999</v>
      </c>
      <c r="J10" s="255">
        <f>SUM(J11:J28)</f>
        <v>17947</v>
      </c>
      <c r="K10" s="252">
        <f>+C10-'[3]60'!$D$7</f>
        <v>15212171.609818999</v>
      </c>
      <c r="L10" s="256"/>
      <c r="M10" s="257"/>
      <c r="N10" s="256"/>
    </row>
    <row r="11" spans="1:14" ht="15.75">
      <c r="A11" s="90">
        <v>1</v>
      </c>
      <c r="B11" s="259" t="s">
        <v>1200</v>
      </c>
      <c r="C11" s="260">
        <f>SUM(D11:J11)</f>
        <v>1148816.9972580001</v>
      </c>
      <c r="D11" s="92">
        <v>610547.30000000005</v>
      </c>
      <c r="E11" s="92">
        <v>0</v>
      </c>
      <c r="F11" s="92">
        <f>+'67'!F12+'67'!G12</f>
        <v>243935.29725800001</v>
      </c>
      <c r="G11" s="92">
        <v>0</v>
      </c>
      <c r="H11" s="92">
        <v>283887.2</v>
      </c>
      <c r="I11" s="92">
        <v>9960.2000000000007</v>
      </c>
      <c r="J11" s="260">
        <v>487</v>
      </c>
      <c r="K11" s="252"/>
      <c r="L11" s="256"/>
    </row>
    <row r="12" spans="1:14" ht="15.75">
      <c r="A12" s="90">
        <v>2</v>
      </c>
      <c r="B12" s="259" t="s">
        <v>1201</v>
      </c>
      <c r="C12" s="260">
        <f t="shared" ref="C12:C28" si="1">SUM(D12:J12)</f>
        <v>1303330.0349999999</v>
      </c>
      <c r="D12" s="92">
        <v>823851.3</v>
      </c>
      <c r="E12" s="92">
        <v>0</v>
      </c>
      <c r="F12" s="92">
        <f>+'67'!F13+'67'!G13</f>
        <v>268099.53499999997</v>
      </c>
      <c r="G12" s="92">
        <v>0</v>
      </c>
      <c r="H12" s="92">
        <v>190119</v>
      </c>
      <c r="I12" s="92">
        <v>21230.2</v>
      </c>
      <c r="J12" s="260">
        <v>30</v>
      </c>
      <c r="K12" s="252"/>
      <c r="L12" s="256"/>
    </row>
    <row r="13" spans="1:14" ht="15.75">
      <c r="A13" s="90">
        <v>3</v>
      </c>
      <c r="B13" s="259" t="s">
        <v>1202</v>
      </c>
      <c r="C13" s="260">
        <f t="shared" si="1"/>
        <v>1479092.8541660002</v>
      </c>
      <c r="D13" s="92">
        <v>785979</v>
      </c>
      <c r="E13" s="92">
        <v>0</v>
      </c>
      <c r="F13" s="92">
        <f>+'67'!F14+'67'!G14</f>
        <v>368409.09700000001</v>
      </c>
      <c r="G13" s="92">
        <v>0</v>
      </c>
      <c r="H13" s="92">
        <v>273810.460678</v>
      </c>
      <c r="I13" s="92">
        <v>48328.296487999993</v>
      </c>
      <c r="J13" s="260">
        <v>2566</v>
      </c>
      <c r="K13" s="252"/>
      <c r="L13" s="256"/>
    </row>
    <row r="14" spans="1:14" ht="15.75">
      <c r="A14" s="90">
        <v>4</v>
      </c>
      <c r="B14" s="259" t="s">
        <v>1203</v>
      </c>
      <c r="C14" s="260">
        <f t="shared" si="1"/>
        <v>921684.72139499988</v>
      </c>
      <c r="D14" s="92">
        <v>143136.83199999999</v>
      </c>
      <c r="E14" s="92">
        <v>361974</v>
      </c>
      <c r="F14" s="92">
        <f>+'67'!F15+'67'!G15</f>
        <v>299739.25439499994</v>
      </c>
      <c r="G14" s="92">
        <v>0</v>
      </c>
      <c r="H14" s="92">
        <v>93808.296000000002</v>
      </c>
      <c r="I14" s="92">
        <v>22846.339</v>
      </c>
      <c r="J14" s="260">
        <v>180</v>
      </c>
      <c r="K14" s="252"/>
      <c r="L14" s="256"/>
    </row>
    <row r="15" spans="1:14" ht="15.75">
      <c r="A15" s="90">
        <v>5</v>
      </c>
      <c r="B15" s="259" t="s">
        <v>1204</v>
      </c>
      <c r="C15" s="260">
        <f t="shared" si="1"/>
        <v>848746.61899999995</v>
      </c>
      <c r="D15" s="92">
        <v>187605.3</v>
      </c>
      <c r="E15" s="92">
        <v>268335</v>
      </c>
      <c r="F15" s="92">
        <f>+'67'!F16+'67'!G16</f>
        <v>289009.91899999999</v>
      </c>
      <c r="G15" s="92">
        <v>0</v>
      </c>
      <c r="H15" s="92">
        <v>70773.2</v>
      </c>
      <c r="I15" s="92">
        <v>32634.2</v>
      </c>
      <c r="J15" s="260">
        <v>389</v>
      </c>
      <c r="K15" s="252"/>
      <c r="L15" s="256"/>
    </row>
    <row r="16" spans="1:14" ht="15.75">
      <c r="A16" s="90">
        <v>6</v>
      </c>
      <c r="B16" s="259" t="s">
        <v>1205</v>
      </c>
      <c r="C16" s="260">
        <f t="shared" si="1"/>
        <v>1166681.243</v>
      </c>
      <c r="D16" s="92">
        <v>150232</v>
      </c>
      <c r="E16" s="92">
        <v>421208</v>
      </c>
      <c r="F16" s="92">
        <f>+'67'!F17+'67'!G17</f>
        <v>512023.04300000001</v>
      </c>
      <c r="G16" s="92">
        <v>0</v>
      </c>
      <c r="H16" s="92">
        <v>69637.2</v>
      </c>
      <c r="I16" s="92">
        <v>13581</v>
      </c>
      <c r="J16" s="260">
        <v>0</v>
      </c>
      <c r="K16" s="252"/>
      <c r="L16" s="256"/>
    </row>
    <row r="17" spans="1:12" ht="15.75">
      <c r="A17" s="90">
        <v>7</v>
      </c>
      <c r="B17" s="259" t="s">
        <v>1206</v>
      </c>
      <c r="C17" s="260">
        <f t="shared" si="1"/>
        <v>537605.76899999997</v>
      </c>
      <c r="D17" s="92">
        <v>73730</v>
      </c>
      <c r="E17" s="92">
        <v>200991</v>
      </c>
      <c r="F17" s="92">
        <f>+'67'!F18+'67'!G18</f>
        <v>148244.769</v>
      </c>
      <c r="G17" s="92">
        <v>0</v>
      </c>
      <c r="H17" s="92">
        <v>107605</v>
      </c>
      <c r="I17" s="92">
        <v>6290</v>
      </c>
      <c r="J17" s="260">
        <v>745</v>
      </c>
      <c r="K17" s="252"/>
      <c r="L17" s="256"/>
    </row>
    <row r="18" spans="1:12" ht="15.75">
      <c r="A18" s="90">
        <v>8</v>
      </c>
      <c r="B18" s="259" t="s">
        <v>1207</v>
      </c>
      <c r="C18" s="260">
        <f t="shared" si="1"/>
        <v>2132397.8449999997</v>
      </c>
      <c r="D18" s="92">
        <v>428930</v>
      </c>
      <c r="E18" s="92">
        <v>0</v>
      </c>
      <c r="F18" s="92">
        <f>+'67'!F19+'67'!G19</f>
        <v>373390.84499999997</v>
      </c>
      <c r="G18" s="92">
        <v>0</v>
      </c>
      <c r="H18" s="92">
        <v>483122</v>
      </c>
      <c r="I18" s="92">
        <v>839616</v>
      </c>
      <c r="J18" s="260">
        <v>7339</v>
      </c>
      <c r="K18" s="252"/>
      <c r="L18" s="256"/>
    </row>
    <row r="19" spans="1:12" ht="15.75">
      <c r="A19" s="90">
        <v>9</v>
      </c>
      <c r="B19" s="259" t="s">
        <v>1208</v>
      </c>
      <c r="C19" s="260">
        <f t="shared" si="1"/>
        <v>651611.61499999999</v>
      </c>
      <c r="D19" s="92">
        <v>85858</v>
      </c>
      <c r="E19" s="228">
        <v>254882</v>
      </c>
      <c r="F19" s="92">
        <f>+'67'!F20+'67'!G20</f>
        <v>246625.61499999999</v>
      </c>
      <c r="G19" s="92">
        <v>0</v>
      </c>
      <c r="H19" s="92">
        <v>47389</v>
      </c>
      <c r="I19" s="92">
        <v>16561</v>
      </c>
      <c r="J19" s="260">
        <v>296</v>
      </c>
      <c r="K19" s="252"/>
      <c r="L19" s="256"/>
    </row>
    <row r="20" spans="1:12" ht="15.75">
      <c r="A20" s="90">
        <v>10</v>
      </c>
      <c r="B20" s="259" t="s">
        <v>1209</v>
      </c>
      <c r="C20" s="260">
        <f t="shared" si="1"/>
        <v>410992.28599999996</v>
      </c>
      <c r="D20" s="92">
        <v>58361</v>
      </c>
      <c r="E20" s="228">
        <v>117551</v>
      </c>
      <c r="F20" s="92">
        <f>+'67'!F21+'67'!G21</f>
        <v>181391.28599999999</v>
      </c>
      <c r="G20" s="92">
        <v>0</v>
      </c>
      <c r="H20" s="92">
        <v>46122</v>
      </c>
      <c r="I20" s="92">
        <v>7567</v>
      </c>
      <c r="J20" s="260">
        <v>0</v>
      </c>
      <c r="K20" s="252"/>
      <c r="L20" s="256"/>
    </row>
    <row r="21" spans="1:12" ht="15.75">
      <c r="A21" s="90">
        <v>11</v>
      </c>
      <c r="B21" s="259" t="s">
        <v>1210</v>
      </c>
      <c r="C21" s="260">
        <f t="shared" si="1"/>
        <v>645182.22499999998</v>
      </c>
      <c r="D21" s="92">
        <f>29314+5400</f>
        <v>34714</v>
      </c>
      <c r="E21" s="92">
        <v>269168</v>
      </c>
      <c r="F21" s="92">
        <f>+'67'!F22+'67'!G22</f>
        <v>234122.22500000001</v>
      </c>
      <c r="G21" s="92">
        <v>0</v>
      </c>
      <c r="H21" s="92">
        <v>104607</v>
      </c>
      <c r="I21" s="92">
        <v>735</v>
      </c>
      <c r="J21" s="260">
        <v>1836</v>
      </c>
      <c r="K21" s="252"/>
      <c r="L21" s="256"/>
    </row>
    <row r="22" spans="1:12" ht="15.75">
      <c r="A22" s="90">
        <v>12</v>
      </c>
      <c r="B22" s="259" t="s">
        <v>1211</v>
      </c>
      <c r="C22" s="260">
        <f t="shared" si="1"/>
        <v>665597.97499999998</v>
      </c>
      <c r="D22" s="92">
        <v>204110</v>
      </c>
      <c r="E22" s="92">
        <v>69286</v>
      </c>
      <c r="F22" s="92">
        <f>+'67'!F23+'67'!G23</f>
        <v>250098.97500000001</v>
      </c>
      <c r="G22" s="92">
        <v>0</v>
      </c>
      <c r="H22" s="92">
        <v>108222</v>
      </c>
      <c r="I22" s="92">
        <v>33282</v>
      </c>
      <c r="J22" s="260">
        <v>599</v>
      </c>
      <c r="K22" s="252"/>
      <c r="L22" s="256"/>
    </row>
    <row r="23" spans="1:12" ht="15.75">
      <c r="A23" s="90">
        <v>13</v>
      </c>
      <c r="B23" s="259" t="s">
        <v>1212</v>
      </c>
      <c r="C23" s="260">
        <f t="shared" si="1"/>
        <v>517628.61100000003</v>
      </c>
      <c r="D23" s="92">
        <v>25133</v>
      </c>
      <c r="E23" s="92">
        <v>192027</v>
      </c>
      <c r="F23" s="92">
        <f>+'67'!F24+'67'!G24</f>
        <v>248416.611</v>
      </c>
      <c r="G23" s="92">
        <v>0</v>
      </c>
      <c r="H23" s="92">
        <v>49951</v>
      </c>
      <c r="I23" s="92">
        <v>2098</v>
      </c>
      <c r="J23" s="260">
        <v>3</v>
      </c>
      <c r="K23" s="252"/>
      <c r="L23" s="256"/>
    </row>
    <row r="24" spans="1:12" ht="15.75">
      <c r="A24" s="90">
        <v>14</v>
      </c>
      <c r="B24" s="259" t="s">
        <v>1213</v>
      </c>
      <c r="C24" s="260">
        <f t="shared" si="1"/>
        <v>484300.745</v>
      </c>
      <c r="D24" s="92">
        <v>216891</v>
      </c>
      <c r="E24" s="92">
        <v>11112</v>
      </c>
      <c r="F24" s="92">
        <f>+'67'!F25+'67'!G25</f>
        <v>213826.745</v>
      </c>
      <c r="G24" s="92">
        <v>0</v>
      </c>
      <c r="H24" s="92">
        <v>36967</v>
      </c>
      <c r="I24" s="92">
        <v>5504</v>
      </c>
      <c r="J24" s="260">
        <v>0</v>
      </c>
      <c r="K24" s="252"/>
      <c r="L24" s="256"/>
    </row>
    <row r="25" spans="1:12" ht="15.75">
      <c r="A25" s="90">
        <v>15</v>
      </c>
      <c r="B25" s="259" t="s">
        <v>1214</v>
      </c>
      <c r="C25" s="260">
        <f t="shared" si="1"/>
        <v>594296.52399999998</v>
      </c>
      <c r="D25" s="92">
        <v>166937</v>
      </c>
      <c r="E25" s="92">
        <v>77223</v>
      </c>
      <c r="F25" s="92">
        <f>+'67'!F26+'67'!G26</f>
        <v>267735.52400000003</v>
      </c>
      <c r="G25" s="92">
        <v>0</v>
      </c>
      <c r="H25" s="92">
        <v>81605</v>
      </c>
      <c r="I25" s="92">
        <v>684</v>
      </c>
      <c r="J25" s="260">
        <v>112</v>
      </c>
      <c r="K25" s="252"/>
      <c r="L25" s="256"/>
    </row>
    <row r="26" spans="1:12" ht="15.75">
      <c r="A26" s="90">
        <v>16</v>
      </c>
      <c r="B26" s="259" t="s">
        <v>1215</v>
      </c>
      <c r="C26" s="260">
        <f>SUM(D26:J26)</f>
        <v>448488.15599999996</v>
      </c>
      <c r="D26" s="92">
        <v>15162</v>
      </c>
      <c r="E26" s="228">
        <v>202001</v>
      </c>
      <c r="F26" s="92">
        <f>+'67'!F27+'67'!G27</f>
        <v>186302.15599999999</v>
      </c>
      <c r="G26" s="92">
        <v>0</v>
      </c>
      <c r="H26" s="92">
        <v>33276</v>
      </c>
      <c r="I26" s="92">
        <v>10784</v>
      </c>
      <c r="J26" s="260">
        <v>963</v>
      </c>
      <c r="K26" s="252"/>
      <c r="L26" s="256"/>
    </row>
    <row r="27" spans="1:12" ht="15.75">
      <c r="A27" s="90">
        <v>17</v>
      </c>
      <c r="B27" s="259" t="s">
        <v>1216</v>
      </c>
      <c r="C27" s="260">
        <f t="shared" si="1"/>
        <v>594709.99900000007</v>
      </c>
      <c r="D27" s="92">
        <v>113761</v>
      </c>
      <c r="E27" s="92">
        <v>168984</v>
      </c>
      <c r="F27" s="92">
        <f>+'67'!F28+'67'!G28</f>
        <v>201487.99900000001</v>
      </c>
      <c r="G27" s="92">
        <v>0</v>
      </c>
      <c r="H27" s="92">
        <v>97809</v>
      </c>
      <c r="I27" s="92">
        <v>10430</v>
      </c>
      <c r="J27" s="260">
        <v>2238</v>
      </c>
      <c r="K27" s="252"/>
      <c r="L27" s="256"/>
    </row>
    <row r="28" spans="1:12" ht="15.75">
      <c r="A28" s="261">
        <v>18</v>
      </c>
      <c r="B28" s="262" t="s">
        <v>1217</v>
      </c>
      <c r="C28" s="263">
        <f t="shared" si="1"/>
        <v>661007.39</v>
      </c>
      <c r="D28" s="264">
        <v>37752</v>
      </c>
      <c r="E28" s="264">
        <v>161107</v>
      </c>
      <c r="F28" s="264">
        <f>+'67'!F29+'67'!G29</f>
        <v>346157.39</v>
      </c>
      <c r="G28" s="264">
        <v>0</v>
      </c>
      <c r="H28" s="264">
        <v>113346</v>
      </c>
      <c r="I28" s="264">
        <v>2481</v>
      </c>
      <c r="J28" s="263">
        <v>164</v>
      </c>
      <c r="K28" s="252"/>
      <c r="L28" s="256"/>
    </row>
    <row r="30" spans="1:12">
      <c r="B30" s="248"/>
      <c r="C30" s="248"/>
      <c r="D30" s="248"/>
      <c r="E30" s="248"/>
      <c r="F30" s="248"/>
      <c r="G30" s="265"/>
      <c r="H30" s="265"/>
      <c r="I30" s="248"/>
      <c r="J30" s="248"/>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29"/>
  <sheetViews>
    <sheetView tabSelected="1" topLeftCell="G19" zoomScale="85" zoomScaleNormal="85" workbookViewId="0">
      <selection activeCell="M40" sqref="M40"/>
    </sheetView>
  </sheetViews>
  <sheetFormatPr defaultRowHeight="15"/>
  <cols>
    <col min="1" max="1" width="4.28515625" style="26" customWidth="1"/>
    <col min="2" max="2" width="16.5703125" style="26" customWidth="1"/>
    <col min="3" max="3" width="12.140625" style="26" bestFit="1" customWidth="1"/>
    <col min="4" max="4" width="12.42578125" style="26" customWidth="1"/>
    <col min="5" max="5" width="12.140625" style="26" customWidth="1"/>
    <col min="6" max="6" width="9.140625" style="26"/>
    <col min="7" max="7" width="13.140625" style="26" customWidth="1"/>
    <col min="8" max="8" width="12.85546875" style="26" customWidth="1"/>
    <col min="9" max="9" width="12.42578125" style="26" customWidth="1"/>
    <col min="10" max="10" width="10.7109375" style="26" customWidth="1"/>
    <col min="11" max="11" width="12.140625" style="26" customWidth="1"/>
    <col min="12" max="12" width="11.85546875" style="26" customWidth="1"/>
    <col min="13" max="13" width="12.140625" style="26" customWidth="1"/>
    <col min="14" max="14" width="9.42578125" style="26" customWidth="1"/>
    <col min="15" max="15" width="12.140625" style="26" customWidth="1"/>
    <col min="16" max="16" width="12.7109375" style="26" customWidth="1"/>
    <col min="17" max="17" width="12" style="26" customWidth="1"/>
    <col min="18" max="18" width="10.28515625" style="26" customWidth="1"/>
    <col min="19" max="19" width="7.42578125" style="26" customWidth="1"/>
    <col min="20" max="20" width="7" style="26" customWidth="1"/>
    <col min="21" max="21" width="6.42578125" style="26" customWidth="1"/>
    <col min="22" max="22" width="7" style="26" customWidth="1"/>
    <col min="23" max="23" width="6.42578125" style="26" customWidth="1"/>
    <col min="24" max="24" width="8.28515625" style="26" customWidth="1"/>
    <col min="25" max="25" width="7.7109375" style="26" customWidth="1"/>
    <col min="26" max="26" width="7.42578125" style="26" customWidth="1"/>
    <col min="27" max="28" width="10.5703125" style="26" bestFit="1" customWidth="1"/>
    <col min="29" max="16384" width="9.140625" style="26"/>
  </cols>
  <sheetData>
    <row r="1" spans="1:29" ht="20.25" customHeight="1">
      <c r="A1" s="21" t="s">
        <v>1518</v>
      </c>
      <c r="W1" s="480" t="s">
        <v>1520</v>
      </c>
      <c r="X1" s="480"/>
      <c r="Y1" s="480"/>
      <c r="Z1" s="480"/>
    </row>
    <row r="2" spans="1:29" ht="15" customHeight="1">
      <c r="W2" s="479"/>
      <c r="X2" s="479"/>
      <c r="Y2" s="479"/>
      <c r="Z2" s="479"/>
    </row>
    <row r="3" spans="1:29" s="439" customFormat="1" ht="19.5" customHeight="1">
      <c r="A3" s="481" t="s">
        <v>1105</v>
      </c>
      <c r="B3" s="481"/>
      <c r="C3" s="481"/>
      <c r="D3" s="481"/>
      <c r="E3" s="481"/>
      <c r="F3" s="481"/>
      <c r="G3" s="481"/>
      <c r="H3" s="481"/>
      <c r="I3" s="481"/>
      <c r="J3" s="481"/>
      <c r="K3" s="481"/>
      <c r="L3" s="481"/>
      <c r="M3" s="481"/>
      <c r="N3" s="481"/>
      <c r="O3" s="481"/>
      <c r="P3" s="481"/>
      <c r="Q3" s="481"/>
      <c r="R3" s="481"/>
      <c r="S3" s="481"/>
      <c r="T3" s="481"/>
      <c r="U3" s="481"/>
      <c r="V3" s="481"/>
      <c r="W3" s="481"/>
      <c r="X3" s="481"/>
      <c r="Y3" s="481"/>
      <c r="Z3" s="481"/>
    </row>
    <row r="4" spans="1:29" s="439" customFormat="1" ht="30" customHeight="1">
      <c r="A4" s="482" t="s">
        <v>1519</v>
      </c>
      <c r="B4" s="482"/>
      <c r="C4" s="482"/>
      <c r="D4" s="482"/>
      <c r="E4" s="482"/>
      <c r="F4" s="482"/>
      <c r="G4" s="482"/>
      <c r="H4" s="482"/>
      <c r="I4" s="482"/>
      <c r="J4" s="482"/>
      <c r="K4" s="482"/>
      <c r="L4" s="482"/>
      <c r="M4" s="482"/>
      <c r="N4" s="482"/>
      <c r="O4" s="482"/>
      <c r="P4" s="482"/>
      <c r="Q4" s="482"/>
      <c r="R4" s="482"/>
      <c r="S4" s="482"/>
      <c r="T4" s="482"/>
      <c r="U4" s="482"/>
      <c r="V4" s="482"/>
      <c r="W4" s="482"/>
      <c r="X4" s="482"/>
      <c r="Y4" s="482"/>
      <c r="Z4" s="482"/>
    </row>
    <row r="5" spans="1:29" ht="15.75">
      <c r="E5" s="85"/>
      <c r="H5" s="85"/>
      <c r="I5" s="85"/>
      <c r="J5" s="85"/>
      <c r="N5" s="85"/>
      <c r="P5" s="85"/>
      <c r="Q5" s="252"/>
      <c r="R5" s="85"/>
      <c r="Z5" s="77" t="s">
        <v>20</v>
      </c>
    </row>
    <row r="6" spans="1:29" ht="15.75" customHeight="1">
      <c r="A6" s="483" t="s">
        <v>1517</v>
      </c>
      <c r="B6" s="483" t="s">
        <v>1220</v>
      </c>
      <c r="C6" s="476" t="s">
        <v>1516</v>
      </c>
      <c r="D6" s="477"/>
      <c r="E6" s="477"/>
      <c r="F6" s="477"/>
      <c r="G6" s="477"/>
      <c r="H6" s="477"/>
      <c r="I6" s="477"/>
      <c r="J6" s="478"/>
      <c r="K6" s="476" t="s">
        <v>22</v>
      </c>
      <c r="L6" s="477"/>
      <c r="M6" s="477"/>
      <c r="N6" s="477"/>
      <c r="O6" s="477"/>
      <c r="P6" s="477"/>
      <c r="Q6" s="477"/>
      <c r="R6" s="478"/>
      <c r="S6" s="476" t="s">
        <v>65</v>
      </c>
      <c r="T6" s="477"/>
      <c r="U6" s="477"/>
      <c r="V6" s="477"/>
      <c r="W6" s="477"/>
      <c r="X6" s="477"/>
      <c r="Y6" s="477"/>
      <c r="Z6" s="478"/>
    </row>
    <row r="7" spans="1:29" ht="21" customHeight="1">
      <c r="A7" s="484"/>
      <c r="B7" s="484"/>
      <c r="C7" s="483" t="s">
        <v>0</v>
      </c>
      <c r="D7" s="486" t="s">
        <v>35</v>
      </c>
      <c r="E7" s="489" t="s">
        <v>11</v>
      </c>
      <c r="F7" s="490"/>
      <c r="G7" s="490"/>
      <c r="H7" s="490"/>
      <c r="I7" s="490"/>
      <c r="J7" s="491"/>
      <c r="K7" s="486" t="s">
        <v>0</v>
      </c>
      <c r="L7" s="486" t="s">
        <v>35</v>
      </c>
      <c r="M7" s="489" t="s">
        <v>11</v>
      </c>
      <c r="N7" s="490"/>
      <c r="O7" s="490"/>
      <c r="P7" s="490"/>
      <c r="Q7" s="490"/>
      <c r="R7" s="491"/>
      <c r="S7" s="483" t="s">
        <v>0</v>
      </c>
      <c r="T7" s="486" t="s">
        <v>35</v>
      </c>
      <c r="U7" s="489" t="s">
        <v>11</v>
      </c>
      <c r="V7" s="490"/>
      <c r="W7" s="490"/>
      <c r="X7" s="490"/>
      <c r="Y7" s="490"/>
      <c r="Z7" s="491"/>
    </row>
    <row r="8" spans="1:29" ht="24.75" customHeight="1">
      <c r="A8" s="484"/>
      <c r="B8" s="484"/>
      <c r="C8" s="484"/>
      <c r="D8" s="487"/>
      <c r="E8" s="486" t="s">
        <v>0</v>
      </c>
      <c r="F8" s="489" t="s">
        <v>66</v>
      </c>
      <c r="G8" s="491"/>
      <c r="H8" s="486" t="s">
        <v>67</v>
      </c>
      <c r="I8" s="486" t="s">
        <v>68</v>
      </c>
      <c r="J8" s="486" t="s">
        <v>69</v>
      </c>
      <c r="K8" s="487"/>
      <c r="L8" s="487"/>
      <c r="M8" s="486" t="s">
        <v>0</v>
      </c>
      <c r="N8" s="489" t="s">
        <v>66</v>
      </c>
      <c r="O8" s="491"/>
      <c r="P8" s="486" t="s">
        <v>67</v>
      </c>
      <c r="Q8" s="486" t="s">
        <v>68</v>
      </c>
      <c r="R8" s="486" t="s">
        <v>69</v>
      </c>
      <c r="S8" s="484"/>
      <c r="T8" s="487"/>
      <c r="U8" s="486" t="s">
        <v>0</v>
      </c>
      <c r="V8" s="489" t="s">
        <v>66</v>
      </c>
      <c r="W8" s="491"/>
      <c r="X8" s="486" t="s">
        <v>67</v>
      </c>
      <c r="Y8" s="486" t="s">
        <v>68</v>
      </c>
      <c r="Z8" s="486" t="s">
        <v>69</v>
      </c>
    </row>
    <row r="9" spans="1:29" ht="101.25" customHeight="1">
      <c r="A9" s="485"/>
      <c r="B9" s="485"/>
      <c r="C9" s="485"/>
      <c r="D9" s="488"/>
      <c r="E9" s="488"/>
      <c r="F9" s="440" t="s">
        <v>70</v>
      </c>
      <c r="G9" s="440" t="s">
        <v>71</v>
      </c>
      <c r="H9" s="488"/>
      <c r="I9" s="488"/>
      <c r="J9" s="488"/>
      <c r="K9" s="488"/>
      <c r="L9" s="488"/>
      <c r="M9" s="488"/>
      <c r="N9" s="440" t="s">
        <v>70</v>
      </c>
      <c r="O9" s="440" t="s">
        <v>71</v>
      </c>
      <c r="P9" s="488"/>
      <c r="Q9" s="488"/>
      <c r="R9" s="488"/>
      <c r="S9" s="485"/>
      <c r="T9" s="488"/>
      <c r="U9" s="488"/>
      <c r="V9" s="440" t="s">
        <v>70</v>
      </c>
      <c r="W9" s="440" t="s">
        <v>71</v>
      </c>
      <c r="X9" s="488"/>
      <c r="Y9" s="488"/>
      <c r="Z9" s="488"/>
    </row>
    <row r="10" spans="1:29" s="430" customFormat="1" ht="27.75" customHeight="1">
      <c r="A10" s="272" t="s">
        <v>3</v>
      </c>
      <c r="B10" s="272" t="s">
        <v>4</v>
      </c>
      <c r="C10" s="272" t="s">
        <v>51</v>
      </c>
      <c r="D10" s="272">
        <v>2</v>
      </c>
      <c r="E10" s="272" t="s">
        <v>72</v>
      </c>
      <c r="F10" s="272">
        <v>4</v>
      </c>
      <c r="G10" s="272">
        <v>5</v>
      </c>
      <c r="H10" s="272">
        <v>6</v>
      </c>
      <c r="I10" s="272">
        <v>7</v>
      </c>
      <c r="J10" s="272">
        <v>8</v>
      </c>
      <c r="K10" s="272" t="s">
        <v>1427</v>
      </c>
      <c r="L10" s="272">
        <v>10</v>
      </c>
      <c r="M10" s="272" t="s">
        <v>73</v>
      </c>
      <c r="N10" s="272">
        <v>12</v>
      </c>
      <c r="O10" s="272">
        <v>13</v>
      </c>
      <c r="P10" s="272">
        <v>14</v>
      </c>
      <c r="Q10" s="272">
        <v>15</v>
      </c>
      <c r="R10" s="272">
        <v>16</v>
      </c>
      <c r="S10" s="272" t="s">
        <v>1439</v>
      </c>
      <c r="T10" s="272" t="s">
        <v>1440</v>
      </c>
      <c r="U10" s="272" t="s">
        <v>1441</v>
      </c>
      <c r="V10" s="272" t="s">
        <v>1442</v>
      </c>
      <c r="W10" s="272" t="s">
        <v>1443</v>
      </c>
      <c r="X10" s="272" t="s">
        <v>1444</v>
      </c>
      <c r="Y10" s="272" t="s">
        <v>1445</v>
      </c>
      <c r="Z10" s="272" t="s">
        <v>1446</v>
      </c>
    </row>
    <row r="11" spans="1:29" ht="24" customHeight="1">
      <c r="A11" s="431"/>
      <c r="B11" s="431" t="s">
        <v>53</v>
      </c>
      <c r="C11" s="432">
        <v>7654865.2856529998</v>
      </c>
      <c r="D11" s="432">
        <v>2775849</v>
      </c>
      <c r="E11" s="432">
        <v>4879016.2856530007</v>
      </c>
      <c r="F11" s="432">
        <v>30760.057999999997</v>
      </c>
      <c r="G11" s="432">
        <v>4848256.2276529996</v>
      </c>
      <c r="H11" s="432">
        <v>2068844.5449999999</v>
      </c>
      <c r="I11" s="432">
        <v>2269675.12</v>
      </c>
      <c r="J11" s="432">
        <v>540496.6</v>
      </c>
      <c r="K11" s="432">
        <v>5869152.2319999998</v>
      </c>
      <c r="L11" s="432">
        <v>1876316.05</v>
      </c>
      <c r="M11" s="432">
        <v>3992836.182</v>
      </c>
      <c r="N11" s="432">
        <v>30760.057999999997</v>
      </c>
      <c r="O11" s="432">
        <v>3962076.1239999994</v>
      </c>
      <c r="P11" s="432">
        <v>1313050.3</v>
      </c>
      <c r="Q11" s="432">
        <v>2208649.3789999997</v>
      </c>
      <c r="R11" s="432">
        <v>471136.75300000003</v>
      </c>
      <c r="S11" s="433">
        <v>76.672181847538951</v>
      </c>
      <c r="T11" s="433">
        <v>67.594312586887824</v>
      </c>
      <c r="U11" s="433">
        <v>81.836910316145918</v>
      </c>
      <c r="V11" s="433">
        <v>100</v>
      </c>
      <c r="W11" s="433">
        <v>81.72167348337544</v>
      </c>
      <c r="X11" s="433">
        <v>63.467808790824357</v>
      </c>
      <c r="Y11" s="433">
        <v>97.311256555519705</v>
      </c>
      <c r="Z11" s="433">
        <v>87.16738514173818</v>
      </c>
      <c r="AA11" s="85">
        <v>-0.24999999953433871</v>
      </c>
      <c r="AB11" s="85">
        <v>487739.68305499997</v>
      </c>
      <c r="AC11" s="85">
        <v>-16602.930055000001</v>
      </c>
    </row>
    <row r="12" spans="1:29" ht="38.25" customHeight="1">
      <c r="A12" s="90">
        <v>1</v>
      </c>
      <c r="B12" s="259" t="s">
        <v>1200</v>
      </c>
      <c r="C12" s="228">
        <v>243935.29725800001</v>
      </c>
      <c r="D12" s="228"/>
      <c r="E12" s="228">
        <v>243935.29725800001</v>
      </c>
      <c r="F12" s="228"/>
      <c r="G12" s="228">
        <v>243935.29725800001</v>
      </c>
      <c r="H12" s="228">
        <v>163137.46900000001</v>
      </c>
      <c r="I12" s="228">
        <v>76347.327999999994</v>
      </c>
      <c r="J12" s="228">
        <v>4450.3</v>
      </c>
      <c r="K12" s="228">
        <v>167225.31</v>
      </c>
      <c r="L12" s="228"/>
      <c r="M12" s="228">
        <v>167225.31</v>
      </c>
      <c r="N12" s="228">
        <v>0</v>
      </c>
      <c r="O12" s="228">
        <v>167225.31</v>
      </c>
      <c r="P12" s="228">
        <v>88514.3</v>
      </c>
      <c r="Q12" s="228">
        <v>75386.710000000006</v>
      </c>
      <c r="R12" s="228">
        <v>3324.3</v>
      </c>
      <c r="S12" s="434">
        <v>68.5531417059061</v>
      </c>
      <c r="T12" s="434"/>
      <c r="U12" s="434">
        <v>68.5531417059061</v>
      </c>
      <c r="V12" s="434"/>
      <c r="W12" s="434">
        <v>68.5531417059061</v>
      </c>
      <c r="X12" s="434">
        <v>54.257492495485508</v>
      </c>
      <c r="Y12" s="434">
        <v>98.741779149101347</v>
      </c>
      <c r="Z12" s="434">
        <v>74.698334943711657</v>
      </c>
      <c r="AA12" s="85">
        <v>-1.1823431123048067E-11</v>
      </c>
      <c r="AB12" s="99">
        <v>3323.7129999999997</v>
      </c>
      <c r="AC12" s="85">
        <v>0.58700000000044383</v>
      </c>
    </row>
    <row r="13" spans="1:29" ht="38.25" customHeight="1">
      <c r="A13" s="90">
        <v>2</v>
      </c>
      <c r="B13" s="259" t="s">
        <v>1201</v>
      </c>
      <c r="C13" s="228">
        <v>268099.53499999997</v>
      </c>
      <c r="D13" s="228">
        <v>0</v>
      </c>
      <c r="E13" s="228">
        <v>268099.53499999997</v>
      </c>
      <c r="F13" s="228">
        <v>9952.9369999999999</v>
      </c>
      <c r="G13" s="228">
        <v>258146.598</v>
      </c>
      <c r="H13" s="228">
        <v>168136.20499999999</v>
      </c>
      <c r="I13" s="228">
        <v>92901.33</v>
      </c>
      <c r="J13" s="228">
        <v>7062.3</v>
      </c>
      <c r="K13" s="228">
        <v>205278.82</v>
      </c>
      <c r="L13" s="228"/>
      <c r="M13" s="228">
        <v>205278.82</v>
      </c>
      <c r="N13" s="228">
        <v>9952.9369999999999</v>
      </c>
      <c r="O13" s="228">
        <v>195325.883</v>
      </c>
      <c r="P13" s="228">
        <v>114264</v>
      </c>
      <c r="Q13" s="228">
        <v>89368.52</v>
      </c>
      <c r="R13" s="228">
        <v>1646.3</v>
      </c>
      <c r="S13" s="434">
        <v>76.568137277821108</v>
      </c>
      <c r="T13" s="434"/>
      <c r="U13" s="434">
        <v>76.568137277821108</v>
      </c>
      <c r="V13" s="434">
        <v>100</v>
      </c>
      <c r="W13" s="434">
        <v>75.664713195251949</v>
      </c>
      <c r="X13" s="434">
        <v>67.959188206965905</v>
      </c>
      <c r="Y13" s="434">
        <v>96.19724496947461</v>
      </c>
      <c r="Z13" s="434">
        <v>23.311102615295297</v>
      </c>
      <c r="AA13" s="85">
        <v>2.9558577807620168E-12</v>
      </c>
      <c r="AB13" s="99">
        <v>1646.15</v>
      </c>
      <c r="AC13" s="85">
        <v>0.14999999999986358</v>
      </c>
    </row>
    <row r="14" spans="1:29" ht="38.25" customHeight="1">
      <c r="A14" s="90">
        <v>3</v>
      </c>
      <c r="B14" s="259" t="s">
        <v>1202</v>
      </c>
      <c r="C14" s="228">
        <v>368409.09700000001</v>
      </c>
      <c r="D14" s="228">
        <v>0</v>
      </c>
      <c r="E14" s="228">
        <v>368409.09700000001</v>
      </c>
      <c r="F14" s="228">
        <v>0</v>
      </c>
      <c r="G14" s="228">
        <v>368409.09700000001</v>
      </c>
      <c r="H14" s="228">
        <v>155011.27900000001</v>
      </c>
      <c r="I14" s="228">
        <v>196320.81700000001</v>
      </c>
      <c r="J14" s="228">
        <v>17077</v>
      </c>
      <c r="K14" s="228">
        <v>320975.147</v>
      </c>
      <c r="L14" s="228">
        <v>0</v>
      </c>
      <c r="M14" s="228">
        <v>320975.147</v>
      </c>
      <c r="N14" s="228">
        <v>0</v>
      </c>
      <c r="O14" s="228">
        <v>320975.147</v>
      </c>
      <c r="P14" s="228">
        <v>108426</v>
      </c>
      <c r="Q14" s="228">
        <v>195315.147</v>
      </c>
      <c r="R14" s="228">
        <v>17234</v>
      </c>
      <c r="S14" s="434">
        <v>87.124652896396853</v>
      </c>
      <c r="T14" s="434"/>
      <c r="U14" s="434">
        <v>87.124652896396853</v>
      </c>
      <c r="V14" s="434"/>
      <c r="W14" s="434">
        <v>87.124652896396853</v>
      </c>
      <c r="X14" s="434">
        <v>69.947168167033823</v>
      </c>
      <c r="Y14" s="434">
        <v>99.487741536853918</v>
      </c>
      <c r="Z14" s="434">
        <v>100.91936522808456</v>
      </c>
      <c r="AA14" s="85">
        <v>0</v>
      </c>
      <c r="AB14" s="99">
        <v>17234.485199999999</v>
      </c>
      <c r="AC14" s="85">
        <v>-0.48519999999916763</v>
      </c>
    </row>
    <row r="15" spans="1:29" ht="38.25" customHeight="1">
      <c r="A15" s="90">
        <v>4</v>
      </c>
      <c r="B15" s="259" t="s">
        <v>1203</v>
      </c>
      <c r="C15" s="228">
        <v>661713.25439499994</v>
      </c>
      <c r="D15" s="228">
        <v>361974</v>
      </c>
      <c r="E15" s="228">
        <v>299739.25439499994</v>
      </c>
      <c r="F15" s="228">
        <v>0</v>
      </c>
      <c r="G15" s="228">
        <v>299739.25439499994</v>
      </c>
      <c r="H15" s="228">
        <v>90902.392999999996</v>
      </c>
      <c r="I15" s="228">
        <v>184429.861</v>
      </c>
      <c r="J15" s="228">
        <v>24406.5</v>
      </c>
      <c r="K15" s="228">
        <v>652864.86100000003</v>
      </c>
      <c r="L15" s="228">
        <v>361974</v>
      </c>
      <c r="M15" s="228">
        <v>290890.86100000003</v>
      </c>
      <c r="N15" s="228">
        <v>0</v>
      </c>
      <c r="O15" s="228">
        <v>290890.86100000003</v>
      </c>
      <c r="P15" s="228">
        <v>84778</v>
      </c>
      <c r="Q15" s="228">
        <v>184263.861</v>
      </c>
      <c r="R15" s="228">
        <v>21849</v>
      </c>
      <c r="S15" s="434">
        <v>98.662805477111093</v>
      </c>
      <c r="T15" s="434">
        <v>100</v>
      </c>
      <c r="U15" s="434">
        <v>97.047969771974081</v>
      </c>
      <c r="V15" s="434"/>
      <c r="W15" s="434">
        <v>97.047969771974081</v>
      </c>
      <c r="X15" s="434">
        <v>93.262671313834389</v>
      </c>
      <c r="Y15" s="434">
        <v>99.909992883419235</v>
      </c>
      <c r="Z15" s="434">
        <v>89.521234097474036</v>
      </c>
      <c r="AA15" s="85">
        <v>2.9103830456733704E-11</v>
      </c>
      <c r="AB15" s="99">
        <v>21849.067999999999</v>
      </c>
      <c r="AC15" s="85">
        <v>-6.7999999999301508E-2</v>
      </c>
    </row>
    <row r="16" spans="1:29" ht="38.25" customHeight="1">
      <c r="A16" s="90">
        <v>5</v>
      </c>
      <c r="B16" s="259" t="s">
        <v>1204</v>
      </c>
      <c r="C16" s="228">
        <v>557344.91899999999</v>
      </c>
      <c r="D16" s="228">
        <v>268335</v>
      </c>
      <c r="E16" s="228">
        <v>289009.91899999999</v>
      </c>
      <c r="F16" s="228">
        <v>0</v>
      </c>
      <c r="G16" s="228">
        <v>289009.91899999999</v>
      </c>
      <c r="H16" s="228">
        <v>106121.81299999999</v>
      </c>
      <c r="I16" s="228">
        <v>158091.10500000001</v>
      </c>
      <c r="J16" s="228">
        <v>24797.5</v>
      </c>
      <c r="K16" s="228">
        <v>497409.80500000005</v>
      </c>
      <c r="L16" s="228">
        <v>268335</v>
      </c>
      <c r="M16" s="228">
        <v>229074.80500000002</v>
      </c>
      <c r="N16" s="228">
        <v>0</v>
      </c>
      <c r="O16" s="228">
        <v>229074.80500000002</v>
      </c>
      <c r="P16" s="228">
        <v>46898</v>
      </c>
      <c r="Q16" s="228">
        <v>156855.10500000001</v>
      </c>
      <c r="R16" s="228">
        <v>25321.7</v>
      </c>
      <c r="S16" s="434">
        <v>89.24631552979136</v>
      </c>
      <c r="T16" s="434">
        <v>100</v>
      </c>
      <c r="U16" s="434">
        <v>79.261917996662262</v>
      </c>
      <c r="V16" s="434"/>
      <c r="W16" s="434">
        <v>79.261917996662262</v>
      </c>
      <c r="X16" s="434">
        <v>44.192610995064705</v>
      </c>
      <c r="Y16" s="434">
        <v>99.218172331707095</v>
      </c>
      <c r="Z16" s="434">
        <v>102.11392277447324</v>
      </c>
      <c r="AA16" s="85">
        <v>0</v>
      </c>
      <c r="AB16" s="99">
        <v>25321.953000000001</v>
      </c>
      <c r="AC16" s="85">
        <v>-0.25300000000061118</v>
      </c>
    </row>
    <row r="17" spans="1:29" ht="38.25" customHeight="1">
      <c r="A17" s="90">
        <v>6</v>
      </c>
      <c r="B17" s="259" t="s">
        <v>1205</v>
      </c>
      <c r="C17" s="228">
        <v>933231.04300000006</v>
      </c>
      <c r="D17" s="228">
        <v>421208</v>
      </c>
      <c r="E17" s="228">
        <v>512023.04300000001</v>
      </c>
      <c r="F17" s="228">
        <v>277.99599999999998</v>
      </c>
      <c r="G17" s="228">
        <v>511745.04700000002</v>
      </c>
      <c r="H17" s="228">
        <v>254770.016</v>
      </c>
      <c r="I17" s="228">
        <v>213700.02600000001</v>
      </c>
      <c r="J17" s="228">
        <v>43552.5</v>
      </c>
      <c r="K17" s="228">
        <v>349204.7</v>
      </c>
      <c r="L17" s="228"/>
      <c r="M17" s="228">
        <v>349204.7</v>
      </c>
      <c r="N17" s="228">
        <v>277.99599999999998</v>
      </c>
      <c r="O17" s="228">
        <v>348926.70400000003</v>
      </c>
      <c r="P17" s="228">
        <v>105504</v>
      </c>
      <c r="Q17" s="228">
        <v>205234</v>
      </c>
      <c r="R17" s="228">
        <v>38466.699999999997</v>
      </c>
      <c r="S17" s="434">
        <v>37.41889027581351</v>
      </c>
      <c r="T17" s="434">
        <v>0</v>
      </c>
      <c r="U17" s="434">
        <v>68.200973525326276</v>
      </c>
      <c r="V17" s="434">
        <v>100</v>
      </c>
      <c r="W17" s="434">
        <v>68.183699294308951</v>
      </c>
      <c r="X17" s="434">
        <v>41.411466567557149</v>
      </c>
      <c r="Y17" s="434">
        <v>96.038359864308106</v>
      </c>
      <c r="Z17" s="434">
        <v>88.322599161930995</v>
      </c>
      <c r="AA17" s="85">
        <v>0</v>
      </c>
      <c r="AB17" s="99">
        <v>38466.892</v>
      </c>
      <c r="AC17" s="85">
        <v>-0.19200000000273576</v>
      </c>
    </row>
    <row r="18" spans="1:29" ht="38.25" customHeight="1">
      <c r="A18" s="90">
        <v>7</v>
      </c>
      <c r="B18" s="259" t="s">
        <v>1206</v>
      </c>
      <c r="C18" s="228">
        <v>349235.76899999997</v>
      </c>
      <c r="D18" s="228">
        <v>200991</v>
      </c>
      <c r="E18" s="228">
        <v>148244.769</v>
      </c>
      <c r="F18" s="228">
        <v>2244.375</v>
      </c>
      <c r="G18" s="228">
        <v>146000.394</v>
      </c>
      <c r="H18" s="228">
        <v>64881.915999999997</v>
      </c>
      <c r="I18" s="228">
        <v>74437.853999999992</v>
      </c>
      <c r="J18" s="228">
        <v>8925.5</v>
      </c>
      <c r="K18" s="228">
        <v>321903.614</v>
      </c>
      <c r="L18" s="228">
        <v>200991</v>
      </c>
      <c r="M18" s="228">
        <v>120912.61400000002</v>
      </c>
      <c r="N18" s="228">
        <v>2244.375</v>
      </c>
      <c r="O18" s="228">
        <v>118668.23900000002</v>
      </c>
      <c r="P18" s="228">
        <v>45977</v>
      </c>
      <c r="Q18" s="228">
        <v>65854.26400000001</v>
      </c>
      <c r="R18" s="228">
        <v>9081.35</v>
      </c>
      <c r="S18" s="434">
        <v>92.173724049440082</v>
      </c>
      <c r="T18" s="434">
        <v>100</v>
      </c>
      <c r="U18" s="434">
        <v>81.5628199332956</v>
      </c>
      <c r="V18" s="434">
        <v>100</v>
      </c>
      <c r="W18" s="434">
        <v>81.279396410396004</v>
      </c>
      <c r="X18" s="434">
        <v>70.862580568674943</v>
      </c>
      <c r="Y18" s="434">
        <v>88.468783637959277</v>
      </c>
      <c r="Z18" s="434">
        <v>101.74612066550894</v>
      </c>
      <c r="AA18" s="85">
        <v>0</v>
      </c>
      <c r="AB18" s="99">
        <v>9080.710255</v>
      </c>
      <c r="AC18" s="85">
        <v>0.6397450000004028</v>
      </c>
    </row>
    <row r="19" spans="1:29" ht="38.25" customHeight="1">
      <c r="A19" s="90">
        <v>8</v>
      </c>
      <c r="B19" s="259" t="s">
        <v>1207</v>
      </c>
      <c r="C19" s="228">
        <v>373390.84499999997</v>
      </c>
      <c r="D19" s="228">
        <v>0</v>
      </c>
      <c r="E19" s="228">
        <v>373390.84499999997</v>
      </c>
      <c r="F19" s="228">
        <v>0</v>
      </c>
      <c r="G19" s="228">
        <v>373390.84499999997</v>
      </c>
      <c r="H19" s="228">
        <v>103324.33</v>
      </c>
      <c r="I19" s="228">
        <v>245512.51500000001</v>
      </c>
      <c r="J19" s="228">
        <v>24554</v>
      </c>
      <c r="K19" s="228">
        <v>329965.24300000002</v>
      </c>
      <c r="L19" s="228"/>
      <c r="M19" s="228">
        <v>329965.24300000002</v>
      </c>
      <c r="N19" s="228">
        <v>0</v>
      </c>
      <c r="O19" s="228">
        <v>329965.24300000002</v>
      </c>
      <c r="P19" s="228">
        <v>66867</v>
      </c>
      <c r="Q19" s="228">
        <v>239675</v>
      </c>
      <c r="R19" s="228">
        <v>23423.243000000002</v>
      </c>
      <c r="S19" s="434">
        <v>88.369933922723803</v>
      </c>
      <c r="T19" s="434"/>
      <c r="U19" s="434">
        <v>88.369933922723803</v>
      </c>
      <c r="V19" s="434"/>
      <c r="W19" s="434">
        <v>88.369933922723803</v>
      </c>
      <c r="X19" s="434">
        <v>64.715638610964135</v>
      </c>
      <c r="Y19" s="434">
        <v>97.62231469137123</v>
      </c>
      <c r="Z19" s="434">
        <v>95.394815508674768</v>
      </c>
      <c r="AA19" s="85">
        <v>0</v>
      </c>
      <c r="AB19" s="99">
        <v>23422.905460000002</v>
      </c>
      <c r="AC19" s="85">
        <v>0.33754000000044471</v>
      </c>
    </row>
    <row r="20" spans="1:29" ht="38.25" customHeight="1">
      <c r="A20" s="90">
        <v>9</v>
      </c>
      <c r="B20" s="259" t="s">
        <v>1208</v>
      </c>
      <c r="C20" s="228">
        <v>501507.61499999999</v>
      </c>
      <c r="D20" s="228">
        <v>254882</v>
      </c>
      <c r="E20" s="228">
        <v>246625.61499999999</v>
      </c>
      <c r="F20" s="228">
        <v>0</v>
      </c>
      <c r="G20" s="228">
        <v>246625.61499999999</v>
      </c>
      <c r="H20" s="228">
        <v>109244.98699999999</v>
      </c>
      <c r="I20" s="228">
        <v>125545.62800000001</v>
      </c>
      <c r="J20" s="228">
        <v>11835</v>
      </c>
      <c r="K20" s="228">
        <v>462505.48</v>
      </c>
      <c r="L20" s="228">
        <v>251497.05</v>
      </c>
      <c r="M20" s="228">
        <v>211008.43</v>
      </c>
      <c r="N20" s="228">
        <v>0</v>
      </c>
      <c r="O20" s="228">
        <v>211008.43</v>
      </c>
      <c r="P20" s="228">
        <v>74019</v>
      </c>
      <c r="Q20" s="228">
        <v>125470.73</v>
      </c>
      <c r="R20" s="228">
        <v>11518.7</v>
      </c>
      <c r="S20" s="434">
        <v>92.223022376240479</v>
      </c>
      <c r="T20" s="434">
        <v>98.671954080711856</v>
      </c>
      <c r="U20" s="434">
        <v>85.558197188884861</v>
      </c>
      <c r="V20" s="434"/>
      <c r="W20" s="434">
        <v>85.558197188884861</v>
      </c>
      <c r="X20" s="434">
        <v>67.755054060283797</v>
      </c>
      <c r="Y20" s="434">
        <v>99.9403420085644</v>
      </c>
      <c r="Z20" s="434">
        <v>97.32741867342628</v>
      </c>
      <c r="AA20" s="85">
        <v>0</v>
      </c>
      <c r="AB20" s="99">
        <v>11518.86</v>
      </c>
      <c r="AC20" s="85">
        <v>-0.15999999999985448</v>
      </c>
    </row>
    <row r="21" spans="1:29" ht="38.25" customHeight="1">
      <c r="A21" s="90">
        <v>10</v>
      </c>
      <c r="B21" s="259" t="s">
        <v>1209</v>
      </c>
      <c r="C21" s="228">
        <v>298942.28599999996</v>
      </c>
      <c r="D21" s="228">
        <v>117551</v>
      </c>
      <c r="E21" s="228">
        <v>181391.28599999999</v>
      </c>
      <c r="F21" s="228">
        <v>0</v>
      </c>
      <c r="G21" s="228">
        <v>181391.28599999999</v>
      </c>
      <c r="H21" s="228">
        <v>71232.548999999999</v>
      </c>
      <c r="I21" s="228">
        <v>84313.66399999999</v>
      </c>
      <c r="J21" s="228">
        <v>25845</v>
      </c>
      <c r="K21" s="228">
        <v>249855.26</v>
      </c>
      <c r="L21" s="228">
        <v>113780</v>
      </c>
      <c r="M21" s="228">
        <v>136075.26</v>
      </c>
      <c r="N21" s="228">
        <v>0</v>
      </c>
      <c r="O21" s="228">
        <v>136075.26</v>
      </c>
      <c r="P21" s="228">
        <v>35639</v>
      </c>
      <c r="Q21" s="228">
        <v>82515</v>
      </c>
      <c r="R21" s="228">
        <v>17921.260000000002</v>
      </c>
      <c r="S21" s="434">
        <v>83.579764958377297</v>
      </c>
      <c r="T21" s="434">
        <v>96.79203069306088</v>
      </c>
      <c r="U21" s="434">
        <v>75.017528681063553</v>
      </c>
      <c r="V21" s="434"/>
      <c r="W21" s="434">
        <v>75.017528681063553</v>
      </c>
      <c r="X21" s="434">
        <v>50.031903252542598</v>
      </c>
      <c r="Y21" s="434">
        <v>97.866699281388136</v>
      </c>
      <c r="Z21" s="434">
        <v>69.341303927258664</v>
      </c>
      <c r="AA21" s="85">
        <v>0</v>
      </c>
      <c r="AB21" s="99">
        <v>17921.340920000002</v>
      </c>
      <c r="AC21" s="85">
        <v>-8.0920000000332948E-2</v>
      </c>
    </row>
    <row r="22" spans="1:29" ht="38.25" customHeight="1">
      <c r="A22" s="90">
        <v>11</v>
      </c>
      <c r="B22" s="259" t="s">
        <v>1210</v>
      </c>
      <c r="C22" s="228">
        <v>503290.22499999998</v>
      </c>
      <c r="D22" s="228">
        <v>269168</v>
      </c>
      <c r="E22" s="228">
        <v>234122.22500000001</v>
      </c>
      <c r="F22" s="228">
        <v>0</v>
      </c>
      <c r="G22" s="228">
        <v>234122.22500000001</v>
      </c>
      <c r="H22" s="228">
        <v>105945.61499999999</v>
      </c>
      <c r="I22" s="228">
        <v>108589.61</v>
      </c>
      <c r="J22" s="228">
        <v>19587</v>
      </c>
      <c r="K22" s="228">
        <v>205943.22999999998</v>
      </c>
      <c r="L22" s="228"/>
      <c r="M22" s="228">
        <v>205943.22999999998</v>
      </c>
      <c r="N22" s="228"/>
      <c r="O22" s="228">
        <v>205943.22999999998</v>
      </c>
      <c r="P22" s="228">
        <v>83493</v>
      </c>
      <c r="Q22" s="228">
        <v>103065.93</v>
      </c>
      <c r="R22" s="228">
        <v>19384.3</v>
      </c>
      <c r="S22" s="434">
        <v>40.919378078523181</v>
      </c>
      <c r="T22" s="434">
        <v>0</v>
      </c>
      <c r="U22" s="434">
        <v>87.963981206824755</v>
      </c>
      <c r="V22" s="434"/>
      <c r="W22" s="434">
        <v>87.963981206824755</v>
      </c>
      <c r="X22" s="434">
        <v>78.807414539997723</v>
      </c>
      <c r="Y22" s="434">
        <v>94.913251829525862</v>
      </c>
      <c r="Z22" s="434">
        <v>98.965129933118902</v>
      </c>
      <c r="AA22" s="85">
        <v>0</v>
      </c>
      <c r="AB22" s="99">
        <v>19384.341100000001</v>
      </c>
      <c r="AC22" s="85">
        <v>-4.1100000002188608E-2</v>
      </c>
    </row>
    <row r="23" spans="1:29" ht="38.25" customHeight="1">
      <c r="A23" s="90">
        <v>12</v>
      </c>
      <c r="B23" s="259" t="s">
        <v>1211</v>
      </c>
      <c r="C23" s="228">
        <v>319384.97499999998</v>
      </c>
      <c r="D23" s="228">
        <v>69286</v>
      </c>
      <c r="E23" s="228">
        <v>250098.97500000001</v>
      </c>
      <c r="F23" s="228">
        <v>2432</v>
      </c>
      <c r="G23" s="228">
        <v>247666.97500000001</v>
      </c>
      <c r="H23" s="228">
        <v>99761.2</v>
      </c>
      <c r="I23" s="228">
        <v>90773.774999999994</v>
      </c>
      <c r="J23" s="228">
        <v>59564</v>
      </c>
      <c r="K23" s="228">
        <v>252384.8</v>
      </c>
      <c r="L23" s="228">
        <v>69286</v>
      </c>
      <c r="M23" s="228">
        <v>183098.8</v>
      </c>
      <c r="N23" s="228">
        <v>2432</v>
      </c>
      <c r="O23" s="228">
        <v>180666.8</v>
      </c>
      <c r="P23" s="228">
        <v>46512</v>
      </c>
      <c r="Q23" s="228">
        <v>95733.1</v>
      </c>
      <c r="R23" s="228">
        <v>40853.699999999997</v>
      </c>
      <c r="S23" s="434">
        <v>79.022126823592757</v>
      </c>
      <c r="T23" s="434">
        <v>100</v>
      </c>
      <c r="U23" s="434">
        <v>73.210535948817864</v>
      </c>
      <c r="V23" s="434">
        <v>100</v>
      </c>
      <c r="W23" s="434">
        <v>72.947473113845717</v>
      </c>
      <c r="X23" s="434">
        <v>46.623336527627977</v>
      </c>
      <c r="Y23" s="434">
        <v>105.46338961886295</v>
      </c>
      <c r="Z23" s="434">
        <v>68.587905446242686</v>
      </c>
      <c r="AA23" s="85">
        <v>0</v>
      </c>
      <c r="AB23" s="99">
        <v>40854.243900000001</v>
      </c>
      <c r="AC23" s="85">
        <v>-0.54390000000421423</v>
      </c>
    </row>
    <row r="24" spans="1:29" ht="38.25" customHeight="1">
      <c r="A24" s="90">
        <v>13</v>
      </c>
      <c r="B24" s="259" t="s">
        <v>1212</v>
      </c>
      <c r="C24" s="228">
        <v>440443.61100000003</v>
      </c>
      <c r="D24" s="228">
        <v>192027</v>
      </c>
      <c r="E24" s="228">
        <v>248416.611</v>
      </c>
      <c r="F24" s="228">
        <v>7278.9110000000001</v>
      </c>
      <c r="G24" s="228">
        <v>241137.7</v>
      </c>
      <c r="H24" s="228">
        <v>73974.759999999995</v>
      </c>
      <c r="I24" s="228">
        <v>112040.94099999999</v>
      </c>
      <c r="J24" s="228">
        <v>62401</v>
      </c>
      <c r="K24" s="228">
        <v>406813.44099999999</v>
      </c>
      <c r="L24" s="228">
        <v>192027</v>
      </c>
      <c r="M24" s="228">
        <v>214786.44100000002</v>
      </c>
      <c r="N24" s="228">
        <v>7278.9110000000001</v>
      </c>
      <c r="O24" s="228">
        <v>207507.53000000003</v>
      </c>
      <c r="P24" s="228">
        <v>55795</v>
      </c>
      <c r="Q24" s="228">
        <v>103613.27</v>
      </c>
      <c r="R24" s="228">
        <v>55378.26</v>
      </c>
      <c r="S24" s="434">
        <v>92.364477731066458</v>
      </c>
      <c r="T24" s="434">
        <v>100</v>
      </c>
      <c r="U24" s="434">
        <v>86.462189519202497</v>
      </c>
      <c r="V24" s="434">
        <v>100</v>
      </c>
      <c r="W24" s="434">
        <v>86.053541192439013</v>
      </c>
      <c r="X24" s="434">
        <v>75.424374475834739</v>
      </c>
      <c r="Y24" s="434">
        <v>92.478043360953222</v>
      </c>
      <c r="Z24" s="434">
        <v>88.745789330299203</v>
      </c>
      <c r="AA24" s="85">
        <v>-8.8999999985389877E-2</v>
      </c>
      <c r="AB24" s="99">
        <v>55378.279000000002</v>
      </c>
      <c r="AC24" s="85">
        <v>-1.9000000000232831E-2</v>
      </c>
    </row>
    <row r="25" spans="1:29" ht="38.25" customHeight="1">
      <c r="A25" s="90">
        <v>14</v>
      </c>
      <c r="B25" s="259" t="s">
        <v>1213</v>
      </c>
      <c r="C25" s="228">
        <v>224938.745</v>
      </c>
      <c r="D25" s="228">
        <v>11112</v>
      </c>
      <c r="E25" s="228">
        <v>213826.745</v>
      </c>
      <c r="F25" s="228">
        <v>0</v>
      </c>
      <c r="G25" s="228">
        <v>213826.745</v>
      </c>
      <c r="H25" s="228">
        <v>74193.593999999997</v>
      </c>
      <c r="I25" s="228">
        <v>88114.150999999998</v>
      </c>
      <c r="J25" s="228">
        <v>51519</v>
      </c>
      <c r="K25" s="228">
        <v>202502.38</v>
      </c>
      <c r="L25" s="228">
        <v>11112</v>
      </c>
      <c r="M25" s="228">
        <v>191390.38</v>
      </c>
      <c r="N25" s="228">
        <v>0</v>
      </c>
      <c r="O25" s="228">
        <v>191390.38</v>
      </c>
      <c r="P25" s="228">
        <v>58040</v>
      </c>
      <c r="Q25" s="228">
        <v>83258.44</v>
      </c>
      <c r="R25" s="228">
        <v>50091.94</v>
      </c>
      <c r="S25" s="434">
        <v>90.025566738180217</v>
      </c>
      <c r="T25" s="434">
        <v>100</v>
      </c>
      <c r="U25" s="434">
        <v>89.50722230748076</v>
      </c>
      <c r="V25" s="434"/>
      <c r="W25" s="434">
        <v>89.50722230748076</v>
      </c>
      <c r="X25" s="434">
        <v>78.227777993879101</v>
      </c>
      <c r="Y25" s="434">
        <v>94.489294914729427</v>
      </c>
      <c r="Z25" s="434">
        <v>97.230031638812875</v>
      </c>
      <c r="AA25" s="85">
        <v>0</v>
      </c>
      <c r="AB25" s="99">
        <v>50091.996999999996</v>
      </c>
      <c r="AC25" s="85">
        <v>-5.6999999993422534E-2</v>
      </c>
    </row>
    <row r="26" spans="1:29" ht="38.25" customHeight="1">
      <c r="A26" s="90">
        <v>15</v>
      </c>
      <c r="B26" s="259" t="s">
        <v>1214</v>
      </c>
      <c r="C26" s="228">
        <v>344958.52400000003</v>
      </c>
      <c r="D26" s="228">
        <v>77223</v>
      </c>
      <c r="E26" s="228">
        <v>267735.52400000003</v>
      </c>
      <c r="F26" s="228">
        <v>8195.65</v>
      </c>
      <c r="G26" s="228">
        <v>259539.87400000001</v>
      </c>
      <c r="H26" s="228">
        <v>120819.38500000001</v>
      </c>
      <c r="I26" s="228">
        <v>100568.139</v>
      </c>
      <c r="J26" s="228">
        <v>46348</v>
      </c>
      <c r="K26" s="228">
        <v>300489.73</v>
      </c>
      <c r="L26" s="228">
        <v>77223</v>
      </c>
      <c r="M26" s="228">
        <v>223266.72999999998</v>
      </c>
      <c r="N26" s="228">
        <v>8195.65</v>
      </c>
      <c r="O26" s="228">
        <v>215071.08</v>
      </c>
      <c r="P26" s="228">
        <v>83725</v>
      </c>
      <c r="Q26" s="228">
        <v>96600.68</v>
      </c>
      <c r="R26" s="228">
        <v>42941.4</v>
      </c>
      <c r="S26" s="434">
        <v>87.108944726352078</v>
      </c>
      <c r="T26" s="434">
        <v>100</v>
      </c>
      <c r="U26" s="434">
        <v>83.390775592408843</v>
      </c>
      <c r="V26" s="434">
        <v>100</v>
      </c>
      <c r="W26" s="434">
        <v>82.866295912588754</v>
      </c>
      <c r="X26" s="434">
        <v>69.297654511318683</v>
      </c>
      <c r="Y26" s="434">
        <v>96.054954342945535</v>
      </c>
      <c r="Z26" s="434">
        <v>92.649952533011131</v>
      </c>
      <c r="AA26" s="85">
        <v>-0.35000000001309672</v>
      </c>
      <c r="AB26" s="99">
        <v>42941.486700000001</v>
      </c>
      <c r="AC26" s="85">
        <v>-8.6699999999837019E-2</v>
      </c>
    </row>
    <row r="27" spans="1:29" ht="38.25" customHeight="1">
      <c r="A27" s="90">
        <v>16</v>
      </c>
      <c r="B27" s="259" t="s">
        <v>1215</v>
      </c>
      <c r="C27" s="228">
        <v>388303.15599999996</v>
      </c>
      <c r="D27" s="228">
        <v>202001</v>
      </c>
      <c r="E27" s="228">
        <v>186302.15599999999</v>
      </c>
      <c r="F27" s="228">
        <v>0</v>
      </c>
      <c r="G27" s="228">
        <v>186302.15599999999</v>
      </c>
      <c r="H27" s="228">
        <v>81583.812000000005</v>
      </c>
      <c r="I27" s="228">
        <v>87063.398000000001</v>
      </c>
      <c r="J27" s="228">
        <v>17655</v>
      </c>
      <c r="K27" s="228">
        <v>147734.29999999999</v>
      </c>
      <c r="L27" s="228"/>
      <c r="M27" s="228">
        <v>147734.29999999999</v>
      </c>
      <c r="N27" s="228"/>
      <c r="O27" s="228">
        <v>147734.29999999999</v>
      </c>
      <c r="P27" s="228">
        <v>43050</v>
      </c>
      <c r="Q27" s="228">
        <v>85672</v>
      </c>
      <c r="R27" s="228">
        <v>19012.3</v>
      </c>
      <c r="S27" s="434">
        <v>38.046123941367092</v>
      </c>
      <c r="T27" s="434">
        <v>0</v>
      </c>
      <c r="U27" s="434">
        <v>79.298223473055245</v>
      </c>
      <c r="V27" s="434"/>
      <c r="W27" s="434">
        <v>79.298223473055245</v>
      </c>
      <c r="X27" s="434">
        <v>52.767821145694924</v>
      </c>
      <c r="Y27" s="434">
        <v>98.401856541367707</v>
      </c>
      <c r="Z27" s="434">
        <v>107.68790710846785</v>
      </c>
      <c r="AA27" s="85">
        <v>0</v>
      </c>
      <c r="AB27" s="99">
        <v>19012.207999999999</v>
      </c>
      <c r="AC27" s="85">
        <v>9.2000000000552973E-2</v>
      </c>
    </row>
    <row r="28" spans="1:29" ht="38.25" customHeight="1">
      <c r="A28" s="90">
        <v>17</v>
      </c>
      <c r="B28" s="259" t="s">
        <v>1216</v>
      </c>
      <c r="C28" s="228">
        <v>370471.99900000001</v>
      </c>
      <c r="D28" s="228">
        <v>168984</v>
      </c>
      <c r="E28" s="228">
        <v>201487.99900000001</v>
      </c>
      <c r="F28" s="228">
        <v>378.18900000000002</v>
      </c>
      <c r="G28" s="228">
        <v>201109.81</v>
      </c>
      <c r="H28" s="228">
        <v>64170.043000000005</v>
      </c>
      <c r="I28" s="228">
        <v>107526.76699999999</v>
      </c>
      <c r="J28" s="228">
        <v>29791</v>
      </c>
      <c r="K28" s="228">
        <v>344031.15100000001</v>
      </c>
      <c r="L28" s="228">
        <v>168984</v>
      </c>
      <c r="M28" s="228">
        <v>175047.15100000001</v>
      </c>
      <c r="N28" s="228">
        <v>378.18900000000002</v>
      </c>
      <c r="O28" s="228">
        <v>174668.962</v>
      </c>
      <c r="P28" s="228">
        <v>43313</v>
      </c>
      <c r="Q28" s="228">
        <v>102739.662</v>
      </c>
      <c r="R28" s="228">
        <v>28994.3</v>
      </c>
      <c r="S28" s="434">
        <v>92.862929432893523</v>
      </c>
      <c r="T28" s="434">
        <v>100</v>
      </c>
      <c r="U28" s="434">
        <v>86.877209495737759</v>
      </c>
      <c r="V28" s="434">
        <v>100</v>
      </c>
      <c r="W28" s="434">
        <v>86.852531957541018</v>
      </c>
      <c r="X28" s="434">
        <v>67.497227639383055</v>
      </c>
      <c r="Y28" s="434">
        <v>95.547987600147977</v>
      </c>
      <c r="Z28" s="434">
        <v>97.325702393340265</v>
      </c>
      <c r="AA28" s="85">
        <v>0.18900000001667649</v>
      </c>
      <c r="AB28" s="99">
        <v>28993.613519999999</v>
      </c>
      <c r="AC28" s="85">
        <v>0.68648000000030152</v>
      </c>
    </row>
    <row r="29" spans="1:29" ht="38.25" customHeight="1">
      <c r="A29" s="435">
        <v>18</v>
      </c>
      <c r="B29" s="436" t="s">
        <v>1217</v>
      </c>
      <c r="C29" s="437">
        <v>507264.39</v>
      </c>
      <c r="D29" s="437">
        <v>161107</v>
      </c>
      <c r="E29" s="437">
        <v>346157.39</v>
      </c>
      <c r="F29" s="437">
        <v>0</v>
      </c>
      <c r="G29" s="437">
        <v>346157.39</v>
      </c>
      <c r="H29" s="437">
        <v>161633.179</v>
      </c>
      <c r="I29" s="437">
        <v>123398.211</v>
      </c>
      <c r="J29" s="437">
        <v>61126</v>
      </c>
      <c r="K29" s="437">
        <v>452064.96</v>
      </c>
      <c r="L29" s="437">
        <v>161107</v>
      </c>
      <c r="M29" s="437">
        <v>290957.96000000002</v>
      </c>
      <c r="N29" s="437">
        <v>0</v>
      </c>
      <c r="O29" s="437">
        <v>290957.96000000002</v>
      </c>
      <c r="P29" s="437">
        <v>128236</v>
      </c>
      <c r="Q29" s="437">
        <v>118027.96</v>
      </c>
      <c r="R29" s="437">
        <v>44694</v>
      </c>
      <c r="S29" s="438">
        <v>89.118213088050595</v>
      </c>
      <c r="T29" s="438">
        <v>100</v>
      </c>
      <c r="U29" s="438">
        <v>84.053661255072441</v>
      </c>
      <c r="V29" s="438"/>
      <c r="W29" s="438">
        <v>84.053661255072441</v>
      </c>
      <c r="X29" s="438">
        <v>79.337671134959237</v>
      </c>
      <c r="Y29" s="438">
        <v>95.648031720654373</v>
      </c>
      <c r="Z29" s="438">
        <v>73.117822203317743</v>
      </c>
      <c r="AA29" s="85">
        <v>0</v>
      </c>
      <c r="AB29" s="99">
        <v>61297.436000000002</v>
      </c>
      <c r="AC29" s="85">
        <v>-16603.436000000002</v>
      </c>
    </row>
  </sheetData>
  <mergeCells count="33">
    <mergeCell ref="U8:U9"/>
    <mergeCell ref="V8:W8"/>
    <mergeCell ref="X8:X9"/>
    <mergeCell ref="Y8:Y9"/>
    <mergeCell ref="Z8:Z9"/>
    <mergeCell ref="S7:S9"/>
    <mergeCell ref="E8:E9"/>
    <mergeCell ref="F8:G8"/>
    <mergeCell ref="H8:H9"/>
    <mergeCell ref="I8:I9"/>
    <mergeCell ref="J8:J9"/>
    <mergeCell ref="Q8:Q9"/>
    <mergeCell ref="R8:R9"/>
    <mergeCell ref="M8:M9"/>
    <mergeCell ref="K7:K9"/>
    <mergeCell ref="L7:L9"/>
    <mergeCell ref="M7:R7"/>
    <mergeCell ref="K6:R6"/>
    <mergeCell ref="W2:Z2"/>
    <mergeCell ref="W1:Z1"/>
    <mergeCell ref="A3:Z3"/>
    <mergeCell ref="A4:Z4"/>
    <mergeCell ref="A6:A9"/>
    <mergeCell ref="B6:B9"/>
    <mergeCell ref="C6:J6"/>
    <mergeCell ref="S6:Z6"/>
    <mergeCell ref="C7:C9"/>
    <mergeCell ref="D7:D9"/>
    <mergeCell ref="E7:J7"/>
    <mergeCell ref="T7:T9"/>
    <mergeCell ref="U7:Z7"/>
    <mergeCell ref="N8:O8"/>
    <mergeCell ref="P8:P9"/>
  </mergeCells>
  <pageMargins left="0.196850393700787" right="0" top="0.59055118110236204" bottom="0.39370078740157499" header="0.31496062992126" footer="0.31496062992126"/>
  <pageSetup paperSize="9" scale="55" orientation="landscape"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383" customWidth="1"/>
    <col min="2" max="2" width="17.28515625" style="384" customWidth="1"/>
    <col min="3" max="3" width="12.5703125" style="27" customWidth="1"/>
    <col min="4" max="4" width="11.85546875" style="27" customWidth="1"/>
    <col min="5" max="5" width="11.7109375" style="27" customWidth="1"/>
    <col min="6" max="6" width="11.28515625" style="27" customWidth="1"/>
    <col min="7" max="7" width="12" style="27" customWidth="1"/>
    <col min="8" max="8" width="11.5703125" style="27" customWidth="1"/>
    <col min="9" max="9" width="12.42578125" style="27" customWidth="1"/>
    <col min="10" max="10" width="9.42578125" style="27" customWidth="1"/>
    <col min="11" max="11" width="13" style="27" bestFit="1" customWidth="1"/>
    <col min="12" max="12" width="11.7109375" style="27" bestFit="1" customWidth="1"/>
    <col min="13" max="13" width="14.5703125" style="27" bestFit="1" customWidth="1"/>
    <col min="14" max="14" width="16.28515625" style="27" bestFit="1" customWidth="1"/>
    <col min="15" max="15" width="9.42578125" style="27" bestFit="1" customWidth="1"/>
    <col min="16" max="16384" width="9.140625" style="27"/>
  </cols>
  <sheetData>
    <row r="1" spans="1:15" ht="15" customHeight="1">
      <c r="H1" s="494" t="s">
        <v>59</v>
      </c>
      <c r="I1" s="494"/>
      <c r="J1" s="494"/>
    </row>
    <row r="2" spans="1:15" ht="15" customHeight="1">
      <c r="H2" s="503" t="s">
        <v>104</v>
      </c>
      <c r="I2" s="503"/>
      <c r="J2" s="503"/>
    </row>
    <row r="3" spans="1:15" ht="15" customHeight="1">
      <c r="H3" s="503"/>
      <c r="I3" s="503"/>
      <c r="J3" s="503"/>
    </row>
    <row r="4" spans="1:15" ht="37.5" customHeight="1">
      <c r="A4" s="472" t="s">
        <v>1405</v>
      </c>
      <c r="B4" s="472"/>
      <c r="C4" s="472"/>
      <c r="D4" s="472"/>
      <c r="E4" s="472"/>
      <c r="F4" s="472"/>
      <c r="G4" s="472"/>
      <c r="H4" s="472"/>
      <c r="I4" s="472"/>
      <c r="J4" s="472"/>
    </row>
    <row r="5" spans="1:15" ht="15.75">
      <c r="A5" s="472"/>
      <c r="B5" s="472"/>
      <c r="C5" s="472"/>
      <c r="D5" s="472"/>
      <c r="E5" s="472"/>
      <c r="F5" s="472"/>
      <c r="G5" s="472"/>
      <c r="H5" s="472"/>
      <c r="I5" s="472"/>
      <c r="J5" s="472"/>
    </row>
    <row r="6" spans="1:15">
      <c r="D6" s="385"/>
      <c r="E6" s="386"/>
      <c r="G6" s="387"/>
      <c r="J6" s="388" t="s">
        <v>20</v>
      </c>
    </row>
    <row r="7" spans="1:15" ht="15.75" customHeight="1">
      <c r="A7" s="501" t="s">
        <v>1</v>
      </c>
      <c r="B7" s="501" t="s">
        <v>52</v>
      </c>
      <c r="C7" s="501" t="s">
        <v>60</v>
      </c>
      <c r="D7" s="497" t="s">
        <v>50</v>
      </c>
      <c r="E7" s="497"/>
      <c r="F7" s="498"/>
      <c r="G7" s="501" t="s">
        <v>61</v>
      </c>
      <c r="H7" s="501" t="s">
        <v>62</v>
      </c>
      <c r="I7" s="502" t="s">
        <v>18</v>
      </c>
      <c r="J7" s="502"/>
      <c r="K7" s="27" t="s">
        <v>1152</v>
      </c>
      <c r="M7" s="27" t="s">
        <v>1153</v>
      </c>
    </row>
    <row r="8" spans="1:15" ht="15" customHeight="1">
      <c r="A8" s="501"/>
      <c r="B8" s="501"/>
      <c r="C8" s="501"/>
      <c r="D8" s="499"/>
      <c r="E8" s="499"/>
      <c r="F8" s="500"/>
      <c r="G8" s="501"/>
      <c r="H8" s="501"/>
      <c r="I8" s="495" t="s">
        <v>63</v>
      </c>
      <c r="J8" s="495" t="s">
        <v>64</v>
      </c>
      <c r="K8" s="385">
        <f>2449274-65000</f>
        <v>2384274</v>
      </c>
      <c r="L8" s="386" t="e">
        <f>+K8-#REF!</f>
        <v>#REF!</v>
      </c>
      <c r="M8" s="385">
        <f>+'56_NĐ31'!D7</f>
        <v>2713620.6496049995</v>
      </c>
      <c r="N8" s="389">
        <f>+M8-G11</f>
        <v>0</v>
      </c>
    </row>
    <row r="9" spans="1:15" ht="118.5" customHeight="1">
      <c r="A9" s="501"/>
      <c r="B9" s="501"/>
      <c r="C9" s="501"/>
      <c r="D9" s="29" t="s">
        <v>123</v>
      </c>
      <c r="E9" s="390" t="s">
        <v>1436</v>
      </c>
      <c r="F9" s="390" t="s">
        <v>1147</v>
      </c>
      <c r="G9" s="501"/>
      <c r="H9" s="501"/>
      <c r="I9" s="496"/>
      <c r="J9" s="496"/>
      <c r="K9" s="385"/>
    </row>
    <row r="10" spans="1:15">
      <c r="A10" s="390" t="s">
        <v>3</v>
      </c>
      <c r="B10" s="390" t="s">
        <v>4</v>
      </c>
      <c r="C10" s="390" t="s">
        <v>19</v>
      </c>
      <c r="D10" s="390">
        <v>2</v>
      </c>
      <c r="E10" s="390">
        <v>3</v>
      </c>
      <c r="F10" s="390">
        <v>4</v>
      </c>
      <c r="G10" s="390">
        <v>5</v>
      </c>
      <c r="H10" s="391" t="s">
        <v>124</v>
      </c>
      <c r="I10" s="390">
        <v>7</v>
      </c>
      <c r="J10" s="390">
        <v>8</v>
      </c>
      <c r="K10" s="27" t="s">
        <v>1148</v>
      </c>
      <c r="L10" s="27" t="s">
        <v>1149</v>
      </c>
      <c r="M10" s="27" t="s">
        <v>1150</v>
      </c>
      <c r="N10" s="386">
        <f>+C11-'56_NĐ31'!C12</f>
        <v>0</v>
      </c>
    </row>
    <row r="11" spans="1:15" s="397" customFormat="1" ht="20.25" customHeight="1">
      <c r="A11" s="392"/>
      <c r="B11" s="393" t="s">
        <v>53</v>
      </c>
      <c r="C11" s="394">
        <f>SUM(C12:C91)</f>
        <v>2931711.7644649995</v>
      </c>
      <c r="D11" s="394">
        <f t="shared" ref="D11:J11" si="0">SUM(D12:D91)</f>
        <v>2384274</v>
      </c>
      <c r="E11" s="394">
        <f t="shared" si="0"/>
        <v>592811.6425379999</v>
      </c>
      <c r="F11" s="394">
        <f t="shared" si="0"/>
        <v>-45373.878072999993</v>
      </c>
      <c r="G11" s="394">
        <f t="shared" si="0"/>
        <v>2713620.649604999</v>
      </c>
      <c r="H11" s="394">
        <f t="shared" si="0"/>
        <v>218091.11486000006</v>
      </c>
      <c r="I11" s="394">
        <f t="shared" si="0"/>
        <v>124836.03477299999</v>
      </c>
      <c r="J11" s="394">
        <f t="shared" si="0"/>
        <v>93138.114264999982</v>
      </c>
      <c r="K11" s="395">
        <v>82739.442320999995</v>
      </c>
      <c r="L11" s="395">
        <f>+I52+I50</f>
        <v>11483.264107000006</v>
      </c>
      <c r="M11" s="395">
        <v>30613.25</v>
      </c>
      <c r="N11" s="395">
        <f>+M11+L11+K11</f>
        <v>124835.956428</v>
      </c>
      <c r="O11" s="396">
        <f>+N11-I11</f>
        <v>-7.8344999987166375E-2</v>
      </c>
    </row>
    <row r="12" spans="1:15" ht="39.75" customHeight="1">
      <c r="A12" s="30">
        <v>1</v>
      </c>
      <c r="B12" s="31" t="s">
        <v>1070</v>
      </c>
      <c r="C12" s="28">
        <f t="shared" ref="C12:C44" si="1">+D12+E12+F12</f>
        <v>15661.589295</v>
      </c>
      <c r="D12" s="25">
        <v>15218</v>
      </c>
      <c r="E12" s="25">
        <v>443.58929499999999</v>
      </c>
      <c r="F12" s="25">
        <v>0</v>
      </c>
      <c r="G12" s="25">
        <v>13773.810066</v>
      </c>
      <c r="H12" s="33">
        <f t="shared" ref="H12:H44" si="2">C12-G12</f>
        <v>1887.7792289999998</v>
      </c>
      <c r="I12" s="25">
        <v>0</v>
      </c>
      <c r="J12" s="25">
        <v>1887.779229</v>
      </c>
      <c r="K12" s="385">
        <f>77809.72661+14799.9071</f>
        <v>92609.633709999995</v>
      </c>
      <c r="L12" s="385">
        <f>16331.018809-15803</f>
        <v>528.01880899999924</v>
      </c>
      <c r="M12" s="385"/>
      <c r="N12" s="385">
        <f>+M12+L12+K12</f>
        <v>93137.652518999996</v>
      </c>
      <c r="O12" s="386">
        <f>+N12-J11</f>
        <v>-0.46174599998630583</v>
      </c>
    </row>
    <row r="13" spans="1:15" ht="42" customHeight="1">
      <c r="A13" s="30">
        <v>2</v>
      </c>
      <c r="B13" s="31" t="s">
        <v>1071</v>
      </c>
      <c r="C13" s="28">
        <f t="shared" si="1"/>
        <v>25249.592000000001</v>
      </c>
      <c r="D13" s="25">
        <v>23248</v>
      </c>
      <c r="E13" s="25">
        <v>2001.5920000000001</v>
      </c>
      <c r="F13" s="25">
        <v>0</v>
      </c>
      <c r="G13" s="25">
        <v>25187.002</v>
      </c>
      <c r="H13" s="33">
        <f t="shared" si="2"/>
        <v>62.590000000000146</v>
      </c>
      <c r="I13" s="25">
        <v>62.59</v>
      </c>
      <c r="J13" s="25">
        <v>0</v>
      </c>
    </row>
    <row r="14" spans="1:15" ht="45">
      <c r="A14" s="30">
        <v>3</v>
      </c>
      <c r="B14" s="32" t="s">
        <v>1414</v>
      </c>
      <c r="C14" s="28">
        <f t="shared" si="1"/>
        <v>201356.28813</v>
      </c>
      <c r="D14" s="25">
        <v>174889</v>
      </c>
      <c r="E14" s="25">
        <v>26509.288130000001</v>
      </c>
      <c r="F14" s="25">
        <v>-42</v>
      </c>
      <c r="G14" s="25">
        <v>181315.675189</v>
      </c>
      <c r="H14" s="33">
        <f t="shared" si="2"/>
        <v>20040.612940999999</v>
      </c>
      <c r="I14" s="25">
        <v>4626.6662299999998</v>
      </c>
      <c r="J14" s="25">
        <v>15413.892711</v>
      </c>
      <c r="K14" s="385">
        <v>201356.23413</v>
      </c>
    </row>
    <row r="15" spans="1:15" ht="51.75" customHeight="1">
      <c r="A15" s="30">
        <v>4</v>
      </c>
      <c r="B15" s="31" t="s">
        <v>1407</v>
      </c>
      <c r="C15" s="28">
        <f t="shared" si="1"/>
        <v>146673.304684</v>
      </c>
      <c r="D15" s="25">
        <v>84089</v>
      </c>
      <c r="E15" s="25">
        <f>74218.742481-9963.837797</f>
        <v>64254.904683999994</v>
      </c>
      <c r="F15" s="25">
        <v>-1670.6</v>
      </c>
      <c r="G15" s="25">
        <f>128097.724331</f>
        <v>128097.724331</v>
      </c>
      <c r="H15" s="33">
        <f t="shared" si="2"/>
        <v>18575.580352999998</v>
      </c>
      <c r="I15" s="25">
        <v>8752.3090859999993</v>
      </c>
      <c r="J15" s="25">
        <v>9823.2712670000001</v>
      </c>
      <c r="K15" s="386">
        <f>+C14-K14</f>
        <v>5.400000000372529E-2</v>
      </c>
    </row>
    <row r="16" spans="1:15" ht="43.5" customHeight="1">
      <c r="A16" s="30">
        <v>5</v>
      </c>
      <c r="B16" s="32" t="s">
        <v>157</v>
      </c>
      <c r="C16" s="28">
        <f t="shared" si="1"/>
        <v>11363.598669999999</v>
      </c>
      <c r="D16" s="25">
        <v>9871</v>
      </c>
      <c r="E16" s="25">
        <v>1492.5986700000001</v>
      </c>
      <c r="F16" s="25">
        <v>0</v>
      </c>
      <c r="G16" s="25">
        <v>10994.800300000001</v>
      </c>
      <c r="H16" s="33">
        <f t="shared" si="2"/>
        <v>368.79836999999861</v>
      </c>
      <c r="I16" s="25">
        <v>4.95</v>
      </c>
      <c r="J16" s="25">
        <v>363.84836999999999</v>
      </c>
    </row>
    <row r="17" spans="1:12" ht="33.75" customHeight="1">
      <c r="A17" s="30">
        <v>6</v>
      </c>
      <c r="B17" s="32" t="s">
        <v>1072</v>
      </c>
      <c r="C17" s="28">
        <f t="shared" si="1"/>
        <v>8921.0370000000003</v>
      </c>
      <c r="D17" s="25">
        <v>7402</v>
      </c>
      <c r="E17" s="25">
        <v>1556.037</v>
      </c>
      <c r="F17" s="25">
        <v>-37</v>
      </c>
      <c r="G17" s="25">
        <v>8635.82</v>
      </c>
      <c r="H17" s="33">
        <f t="shared" si="2"/>
        <v>285.21700000000055</v>
      </c>
      <c r="I17" s="25">
        <v>285.21699999999998</v>
      </c>
      <c r="J17" s="25">
        <v>0</v>
      </c>
    </row>
    <row r="18" spans="1:12" ht="39" customHeight="1">
      <c r="A18" s="30">
        <v>7</v>
      </c>
      <c r="B18" s="31" t="s">
        <v>184</v>
      </c>
      <c r="C18" s="28">
        <f t="shared" si="1"/>
        <v>76073.928339000006</v>
      </c>
      <c r="D18" s="25">
        <v>58183</v>
      </c>
      <c r="E18" s="25">
        <v>18827.383054999998</v>
      </c>
      <c r="F18" s="25">
        <v>-936.45471599999996</v>
      </c>
      <c r="G18" s="25">
        <v>48971.364552999999</v>
      </c>
      <c r="H18" s="33">
        <f t="shared" si="2"/>
        <v>27102.563786000006</v>
      </c>
      <c r="I18" s="25">
        <v>797.85193500000003</v>
      </c>
      <c r="J18" s="25">
        <v>26304.711851</v>
      </c>
      <c r="K18" s="27">
        <v>76073.928339000006</v>
      </c>
    </row>
    <row r="19" spans="1:12" ht="32.25" customHeight="1">
      <c r="A19" s="30">
        <v>8</v>
      </c>
      <c r="B19" s="32" t="s">
        <v>1385</v>
      </c>
      <c r="C19" s="28">
        <f t="shared" si="1"/>
        <v>549946.03736800002</v>
      </c>
      <c r="D19" s="25">
        <v>499406</v>
      </c>
      <c r="E19" s="25">
        <v>51079.959367999996</v>
      </c>
      <c r="F19" s="25">
        <v>-539.92200000000003</v>
      </c>
      <c r="G19" s="25">
        <v>504309.691552</v>
      </c>
      <c r="H19" s="33">
        <f t="shared" si="2"/>
        <v>45636.345816000015</v>
      </c>
      <c r="I19" s="25">
        <f>35826.113595+8</f>
        <v>35834.113595000003</v>
      </c>
      <c r="J19" s="25">
        <f>9810.232221-8</f>
        <v>9802.2322210000002</v>
      </c>
      <c r="K19" s="386">
        <v>543261.58051500004</v>
      </c>
      <c r="L19" s="386">
        <f>+K19-C19</f>
        <v>-6684.4568529999815</v>
      </c>
    </row>
    <row r="20" spans="1:12" ht="32.25" customHeight="1">
      <c r="A20" s="30">
        <v>9</v>
      </c>
      <c r="B20" s="32" t="s">
        <v>1073</v>
      </c>
      <c r="C20" s="28">
        <f t="shared" si="1"/>
        <v>13202.941999999999</v>
      </c>
      <c r="D20" s="25">
        <v>10834</v>
      </c>
      <c r="E20" s="25">
        <v>2368.942</v>
      </c>
      <c r="F20" s="25">
        <v>0</v>
      </c>
      <c r="G20" s="25">
        <v>13059.3385</v>
      </c>
      <c r="H20" s="33">
        <f t="shared" si="2"/>
        <v>143.60349999999926</v>
      </c>
      <c r="I20" s="25">
        <v>19.222000000000001</v>
      </c>
      <c r="J20" s="25">
        <v>124.3815</v>
      </c>
    </row>
    <row r="21" spans="1:12" ht="43.5" customHeight="1">
      <c r="A21" s="30">
        <v>10</v>
      </c>
      <c r="B21" s="31" t="s">
        <v>1224</v>
      </c>
      <c r="C21" s="28">
        <f t="shared" si="1"/>
        <v>28391.949000000001</v>
      </c>
      <c r="D21" s="25">
        <v>16318</v>
      </c>
      <c r="E21" s="25">
        <v>12073.949000000001</v>
      </c>
      <c r="F21" s="25">
        <v>0</v>
      </c>
      <c r="G21" s="25">
        <v>26015.182000000001</v>
      </c>
      <c r="H21" s="33">
        <f t="shared" si="2"/>
        <v>2376.7669999999998</v>
      </c>
      <c r="I21" s="25">
        <v>2000.6389999999999</v>
      </c>
      <c r="J21" s="25">
        <v>376.12799999999999</v>
      </c>
    </row>
    <row r="22" spans="1:12" ht="43.5" customHeight="1">
      <c r="A22" s="30">
        <v>11</v>
      </c>
      <c r="B22" s="109" t="s">
        <v>1151</v>
      </c>
      <c r="C22" s="28">
        <f t="shared" si="1"/>
        <v>489760.994504</v>
      </c>
      <c r="D22" s="25">
        <v>481320</v>
      </c>
      <c r="E22" s="25">
        <v>15140.444882999996</v>
      </c>
      <c r="F22" s="25">
        <v>-6699.4503789999999</v>
      </c>
      <c r="G22" s="25">
        <v>474564.24919</v>
      </c>
      <c r="H22" s="33">
        <f t="shared" si="2"/>
        <v>15196.745314</v>
      </c>
      <c r="I22" s="25">
        <v>1695.5323089999999</v>
      </c>
      <c r="J22" s="25">
        <v>13501.213005</v>
      </c>
      <c r="K22" s="27">
        <v>489760.994504</v>
      </c>
      <c r="L22" s="386">
        <f>+K22-C22</f>
        <v>0</v>
      </c>
    </row>
    <row r="23" spans="1:12" ht="43.5" customHeight="1">
      <c r="A23" s="30">
        <v>12</v>
      </c>
      <c r="B23" s="31" t="s">
        <v>182</v>
      </c>
      <c r="C23" s="28">
        <f t="shared" si="1"/>
        <v>35451.427196000004</v>
      </c>
      <c r="D23" s="25">
        <v>22709</v>
      </c>
      <c r="E23" s="25">
        <v>12742.427196000001</v>
      </c>
      <c r="F23" s="25">
        <v>0</v>
      </c>
      <c r="G23" s="25">
        <f>+'56_NĐ31'!D24</f>
        <v>31177.859401000002</v>
      </c>
      <c r="H23" s="33">
        <f t="shared" si="2"/>
        <v>4273.5677950000027</v>
      </c>
      <c r="I23" s="25">
        <v>120.9015</v>
      </c>
      <c r="J23" s="25">
        <v>3935.236895</v>
      </c>
    </row>
    <row r="24" spans="1:12" ht="43.5" customHeight="1">
      <c r="A24" s="30">
        <v>13</v>
      </c>
      <c r="B24" s="31" t="s">
        <v>1408</v>
      </c>
      <c r="C24" s="28">
        <f t="shared" si="1"/>
        <v>70012.466354999997</v>
      </c>
      <c r="D24" s="25">
        <v>40249</v>
      </c>
      <c r="E24" s="25">
        <v>30710.974354999998</v>
      </c>
      <c r="F24" s="25">
        <v>-947.50800000000004</v>
      </c>
      <c r="G24" s="25">
        <v>28653.601500000001</v>
      </c>
      <c r="H24" s="33">
        <f t="shared" si="2"/>
        <v>41358.864854999993</v>
      </c>
      <c r="I24" s="25">
        <v>40667.873599999999</v>
      </c>
      <c r="J24" s="25">
        <v>690.99125500000002</v>
      </c>
      <c r="K24" s="27">
        <v>70012.466354999997</v>
      </c>
      <c r="L24" s="386">
        <f>+K24-C24</f>
        <v>0</v>
      </c>
    </row>
    <row r="25" spans="1:12" ht="28.5" customHeight="1">
      <c r="A25" s="30">
        <v>14</v>
      </c>
      <c r="B25" s="32" t="s">
        <v>175</v>
      </c>
      <c r="C25" s="28">
        <f t="shared" si="1"/>
        <v>39411.186070999996</v>
      </c>
      <c r="D25" s="25">
        <v>33618</v>
      </c>
      <c r="E25" s="25">
        <v>5830.717071</v>
      </c>
      <c r="F25" s="25">
        <v>-37.530999999999999</v>
      </c>
      <c r="G25" s="25">
        <v>37118.4205</v>
      </c>
      <c r="H25" s="33">
        <f t="shared" si="2"/>
        <v>2292.7655709999963</v>
      </c>
      <c r="I25" s="25">
        <v>1679.4</v>
      </c>
      <c r="J25" s="25">
        <v>613.36557100000005</v>
      </c>
    </row>
    <row r="26" spans="1:12" ht="28.5" customHeight="1">
      <c r="A26" s="30">
        <v>15</v>
      </c>
      <c r="B26" s="32" t="s">
        <v>1075</v>
      </c>
      <c r="C26" s="28">
        <f t="shared" si="1"/>
        <v>14345.927915999999</v>
      </c>
      <c r="D26" s="25">
        <v>12196</v>
      </c>
      <c r="E26" s="25">
        <v>2457.2106659999999</v>
      </c>
      <c r="F26" s="25">
        <v>-307.28275000000002</v>
      </c>
      <c r="G26" s="25">
        <v>14158.790182999999</v>
      </c>
      <c r="H26" s="33">
        <f t="shared" si="2"/>
        <v>187.13773299999957</v>
      </c>
      <c r="I26" s="25">
        <v>11.318398</v>
      </c>
      <c r="J26" s="25">
        <v>175.819335</v>
      </c>
    </row>
    <row r="27" spans="1:12" ht="30">
      <c r="A27" s="30">
        <v>16</v>
      </c>
      <c r="B27" s="32" t="s">
        <v>1374</v>
      </c>
      <c r="C27" s="28">
        <f t="shared" si="1"/>
        <v>109023.03316799999</v>
      </c>
      <c r="D27" s="25">
        <v>82990</v>
      </c>
      <c r="E27" s="25">
        <v>27373.544168</v>
      </c>
      <c r="F27" s="25">
        <v>-1340.511</v>
      </c>
      <c r="G27" s="25">
        <v>105912.108532</v>
      </c>
      <c r="H27" s="33">
        <f t="shared" si="2"/>
        <v>3110.9246359999961</v>
      </c>
      <c r="I27" s="25">
        <v>1662.5430550000001</v>
      </c>
      <c r="J27" s="25">
        <v>1448.3815810000001</v>
      </c>
      <c r="K27" s="27">
        <v>109023.03316799999</v>
      </c>
      <c r="L27" s="386">
        <f>+K27-C27</f>
        <v>0</v>
      </c>
    </row>
    <row r="28" spans="1:12" s="248" customFormat="1" ht="44.25" customHeight="1">
      <c r="A28" s="30">
        <v>17</v>
      </c>
      <c r="B28" s="32" t="s">
        <v>178</v>
      </c>
      <c r="C28" s="28">
        <f t="shared" si="1"/>
        <v>10092.682784000001</v>
      </c>
      <c r="D28" s="25">
        <v>10297</v>
      </c>
      <c r="E28" s="25">
        <v>1495.6827840000001</v>
      </c>
      <c r="F28" s="25">
        <v>-1700</v>
      </c>
      <c r="G28" s="25">
        <v>9758.1426690000008</v>
      </c>
      <c r="H28" s="33">
        <f t="shared" si="2"/>
        <v>334.54011499999979</v>
      </c>
      <c r="I28" s="25">
        <v>53.912982999999997</v>
      </c>
      <c r="J28" s="25">
        <v>280.62713200000002</v>
      </c>
      <c r="K28" s="248">
        <v>10092.682784000001</v>
      </c>
      <c r="L28" s="386">
        <f>+K28-C28</f>
        <v>0</v>
      </c>
    </row>
    <row r="29" spans="1:12" ht="29.25" customHeight="1">
      <c r="A29" s="30">
        <v>18</v>
      </c>
      <c r="B29" s="32" t="s">
        <v>1076</v>
      </c>
      <c r="C29" s="28">
        <f t="shared" si="1"/>
        <v>12449.380999999999</v>
      </c>
      <c r="D29" s="25">
        <v>11522</v>
      </c>
      <c r="E29" s="25">
        <v>1018.381</v>
      </c>
      <c r="F29" s="25">
        <v>-91</v>
      </c>
      <c r="G29" s="25">
        <v>12101.836600000001</v>
      </c>
      <c r="H29" s="33">
        <f t="shared" si="2"/>
        <v>347.54439999999886</v>
      </c>
      <c r="I29" s="25">
        <v>0</v>
      </c>
      <c r="J29" s="25">
        <v>347.5444</v>
      </c>
    </row>
    <row r="30" spans="1:12" ht="29.25" customHeight="1">
      <c r="A30" s="30">
        <v>19</v>
      </c>
      <c r="B30" s="32" t="s">
        <v>1077</v>
      </c>
      <c r="C30" s="28">
        <f t="shared" si="1"/>
        <v>9946.2360000000008</v>
      </c>
      <c r="D30" s="25">
        <v>6712</v>
      </c>
      <c r="E30" s="25">
        <v>3234.2359999999999</v>
      </c>
      <c r="F30" s="25">
        <v>0</v>
      </c>
      <c r="G30" s="25">
        <v>9687.5565000000006</v>
      </c>
      <c r="H30" s="33">
        <f t="shared" si="2"/>
        <v>258.67950000000019</v>
      </c>
      <c r="I30" s="25">
        <v>0</v>
      </c>
      <c r="J30" s="25">
        <v>258.67950000000002</v>
      </c>
    </row>
    <row r="31" spans="1:12" ht="29.25" customHeight="1">
      <c r="A31" s="30">
        <v>20</v>
      </c>
      <c r="B31" s="32" t="s">
        <v>1078</v>
      </c>
      <c r="C31" s="28">
        <f t="shared" si="1"/>
        <v>15352.4162</v>
      </c>
      <c r="D31" s="25">
        <v>6316</v>
      </c>
      <c r="E31" s="25">
        <v>9036.4161999999997</v>
      </c>
      <c r="F31" s="25">
        <v>0</v>
      </c>
      <c r="G31" s="25">
        <v>13481.905661000001</v>
      </c>
      <c r="H31" s="33">
        <f t="shared" si="2"/>
        <v>1870.510538999999</v>
      </c>
      <c r="I31" s="25">
        <v>1182.8230530000001</v>
      </c>
      <c r="J31" s="25">
        <v>687.68748600000004</v>
      </c>
    </row>
    <row r="32" spans="1:12" ht="29.25" customHeight="1">
      <c r="A32" s="30">
        <v>21</v>
      </c>
      <c r="B32" s="32" t="s">
        <v>1079</v>
      </c>
      <c r="C32" s="28">
        <f t="shared" si="1"/>
        <v>6315</v>
      </c>
      <c r="D32" s="25">
        <v>6359</v>
      </c>
      <c r="E32" s="25">
        <v>132</v>
      </c>
      <c r="F32" s="25">
        <f>-192+16</f>
        <v>-176</v>
      </c>
      <c r="G32" s="25">
        <v>6271.1949999999997</v>
      </c>
      <c r="H32" s="33">
        <f t="shared" si="2"/>
        <v>43.805000000000291</v>
      </c>
      <c r="I32" s="25">
        <v>27.805</v>
      </c>
      <c r="J32" s="25">
        <v>16</v>
      </c>
      <c r="K32" s="27">
        <v>27.805</v>
      </c>
    </row>
    <row r="33" spans="1:12" ht="44.25" customHeight="1">
      <c r="A33" s="30">
        <v>22</v>
      </c>
      <c r="B33" s="32" t="s">
        <v>1409</v>
      </c>
      <c r="C33" s="28">
        <f t="shared" si="1"/>
        <v>32691.144200000002</v>
      </c>
      <c r="D33" s="25">
        <v>9071</v>
      </c>
      <c r="E33" s="25">
        <f>464.9+23155.2442</f>
        <v>23620.144200000002</v>
      </c>
      <c r="F33" s="25">
        <v>0</v>
      </c>
      <c r="G33" s="25">
        <f>9119.758009+23155.2442</f>
        <v>32275.002208999998</v>
      </c>
      <c r="H33" s="33">
        <f t="shared" si="2"/>
        <v>416.14199100000405</v>
      </c>
      <c r="I33" s="25">
        <v>5.9649999999999999</v>
      </c>
      <c r="J33" s="25">
        <v>410.17699099999999</v>
      </c>
    </row>
    <row r="34" spans="1:12" ht="44.25" customHeight="1">
      <c r="A34" s="30">
        <v>23</v>
      </c>
      <c r="B34" s="31" t="s">
        <v>185</v>
      </c>
      <c r="C34" s="28">
        <f t="shared" si="1"/>
        <v>15150.824400000001</v>
      </c>
      <c r="D34" s="25">
        <v>9912</v>
      </c>
      <c r="E34" s="25">
        <v>5238.8244000000004</v>
      </c>
      <c r="F34" s="25">
        <v>0</v>
      </c>
      <c r="G34" s="25">
        <v>13101.103993999999</v>
      </c>
      <c r="H34" s="33">
        <f t="shared" si="2"/>
        <v>2049.7204060000022</v>
      </c>
      <c r="I34" s="25">
        <v>983.33820600000001</v>
      </c>
      <c r="J34" s="25">
        <v>1066.3822</v>
      </c>
    </row>
    <row r="35" spans="1:12" ht="44.25" customHeight="1">
      <c r="A35" s="30">
        <v>24</v>
      </c>
      <c r="B35" s="32" t="s">
        <v>1081</v>
      </c>
      <c r="C35" s="28">
        <f t="shared" si="1"/>
        <v>4418</v>
      </c>
      <c r="D35" s="25">
        <v>4264</v>
      </c>
      <c r="E35" s="25">
        <v>154</v>
      </c>
      <c r="F35" s="25">
        <v>0</v>
      </c>
      <c r="G35" s="25">
        <v>4401.1684999999998</v>
      </c>
      <c r="H35" s="33">
        <f t="shared" si="2"/>
        <v>16.831500000000233</v>
      </c>
      <c r="I35" s="25">
        <v>16.594000000000001</v>
      </c>
      <c r="J35" s="25">
        <v>0.23749999999999999</v>
      </c>
    </row>
    <row r="36" spans="1:12" ht="45">
      <c r="A36" s="30">
        <v>25</v>
      </c>
      <c r="B36" s="32" t="s">
        <v>1410</v>
      </c>
      <c r="C36" s="28">
        <f t="shared" si="1"/>
        <v>1287.754799</v>
      </c>
      <c r="D36" s="25">
        <v>2712</v>
      </c>
      <c r="E36" s="25">
        <v>0.9</v>
      </c>
      <c r="F36" s="25">
        <v>-1425.145201</v>
      </c>
      <c r="G36" s="25">
        <v>1287.754799</v>
      </c>
      <c r="H36" s="33">
        <f t="shared" si="2"/>
        <v>0</v>
      </c>
      <c r="I36" s="25">
        <v>0</v>
      </c>
      <c r="J36" s="25">
        <v>0</v>
      </c>
    </row>
    <row r="37" spans="1:12">
      <c r="A37" s="30">
        <v>26</v>
      </c>
      <c r="B37" s="32" t="s">
        <v>127</v>
      </c>
      <c r="C37" s="28">
        <f t="shared" si="1"/>
        <v>7470.3613559999994</v>
      </c>
      <c r="D37" s="25">
        <v>5422</v>
      </c>
      <c r="E37" s="25">
        <v>2048.3613559999999</v>
      </c>
      <c r="F37" s="25">
        <v>0</v>
      </c>
      <c r="G37" s="25">
        <v>7194.2118280000004</v>
      </c>
      <c r="H37" s="33">
        <f t="shared" si="2"/>
        <v>276.14952799999901</v>
      </c>
      <c r="I37" s="25">
        <v>10.991</v>
      </c>
      <c r="J37" s="25">
        <v>265.15852799999999</v>
      </c>
    </row>
    <row r="38" spans="1:12" ht="30">
      <c r="A38" s="30">
        <v>27</v>
      </c>
      <c r="B38" s="32" t="s">
        <v>1391</v>
      </c>
      <c r="C38" s="28">
        <f t="shared" si="1"/>
        <v>2433.9057789999997</v>
      </c>
      <c r="D38" s="25">
        <v>6174</v>
      </c>
      <c r="E38" s="25">
        <v>54.384723999999999</v>
      </c>
      <c r="F38" s="25">
        <v>-3794.4789449999998</v>
      </c>
      <c r="G38" s="25">
        <v>2433.9057790000002</v>
      </c>
      <c r="H38" s="33">
        <f t="shared" si="2"/>
        <v>0</v>
      </c>
      <c r="I38" s="25">
        <v>15.6</v>
      </c>
      <c r="J38" s="25"/>
    </row>
    <row r="39" spans="1:12">
      <c r="A39" s="30">
        <v>28</v>
      </c>
      <c r="B39" s="32" t="s">
        <v>1082</v>
      </c>
      <c r="C39" s="28">
        <f t="shared" si="1"/>
        <v>3048.6149999999998</v>
      </c>
      <c r="D39" s="25">
        <v>2824</v>
      </c>
      <c r="E39" s="25">
        <v>224.61500000000001</v>
      </c>
      <c r="F39" s="25">
        <v>0</v>
      </c>
      <c r="G39" s="25">
        <v>3048.6149999999998</v>
      </c>
      <c r="H39" s="33">
        <f t="shared" si="2"/>
        <v>0</v>
      </c>
      <c r="I39" s="25">
        <v>0</v>
      </c>
      <c r="J39" s="25">
        <v>0</v>
      </c>
    </row>
    <row r="40" spans="1:12" ht="39.75" customHeight="1">
      <c r="A40" s="30">
        <v>29</v>
      </c>
      <c r="B40" s="24" t="s">
        <v>122</v>
      </c>
      <c r="C40" s="28">
        <f>+D40+E40+F40</f>
        <v>720</v>
      </c>
      <c r="D40" s="36">
        <v>670</v>
      </c>
      <c r="E40" s="25">
        <v>50</v>
      </c>
      <c r="F40" s="36"/>
      <c r="G40" s="25">
        <v>720</v>
      </c>
      <c r="H40" s="33">
        <f>C40-G40</f>
        <v>0</v>
      </c>
      <c r="I40" s="36"/>
      <c r="J40" s="28">
        <f>H40-I40</f>
        <v>0</v>
      </c>
    </row>
    <row r="41" spans="1:12" ht="51" customHeight="1">
      <c r="A41" s="30">
        <v>30</v>
      </c>
      <c r="B41" s="231" t="s">
        <v>1402</v>
      </c>
      <c r="C41" s="28">
        <f t="shared" si="1"/>
        <v>2067.5357819999999</v>
      </c>
      <c r="D41" s="25">
        <v>998</v>
      </c>
      <c r="E41" s="25">
        <f>136+933.535782</f>
        <v>1069.5357819999999</v>
      </c>
      <c r="F41" s="25">
        <v>0</v>
      </c>
      <c r="G41" s="25">
        <f>1132.407+933.535782</f>
        <v>2065.9427820000001</v>
      </c>
      <c r="H41" s="33">
        <f t="shared" si="2"/>
        <v>1.5929999999998472</v>
      </c>
      <c r="I41" s="25">
        <v>1.593</v>
      </c>
      <c r="J41" s="25">
        <v>0</v>
      </c>
    </row>
    <row r="42" spans="1:12" ht="48" customHeight="1">
      <c r="A42" s="30">
        <v>31</v>
      </c>
      <c r="B42" s="31" t="s">
        <v>1375</v>
      </c>
      <c r="C42" s="28">
        <f t="shared" si="1"/>
        <v>37153.824999999997</v>
      </c>
      <c r="D42" s="25">
        <v>35400</v>
      </c>
      <c r="E42" s="25">
        <v>1753.825</v>
      </c>
      <c r="F42" s="25">
        <v>0</v>
      </c>
      <c r="G42" s="25">
        <v>36668.370000000003</v>
      </c>
      <c r="H42" s="33">
        <f t="shared" si="2"/>
        <v>485.45499999999447</v>
      </c>
      <c r="I42" s="25">
        <v>485.45499999999998</v>
      </c>
      <c r="J42" s="25">
        <v>0</v>
      </c>
    </row>
    <row r="43" spans="1:12" ht="48" customHeight="1">
      <c r="A43" s="30">
        <v>32</v>
      </c>
      <c r="B43" s="31" t="s">
        <v>1393</v>
      </c>
      <c r="C43" s="28">
        <f t="shared" si="1"/>
        <v>20758.669000000002</v>
      </c>
      <c r="D43" s="25">
        <v>19840</v>
      </c>
      <c r="E43" s="25">
        <v>918.66899999999998</v>
      </c>
      <c r="F43" s="25">
        <v>0</v>
      </c>
      <c r="G43" s="25">
        <v>20664.582999999999</v>
      </c>
      <c r="H43" s="33">
        <f t="shared" si="2"/>
        <v>94.086000000002969</v>
      </c>
      <c r="I43" s="25">
        <v>0</v>
      </c>
      <c r="J43" s="25">
        <v>94.085999999999999</v>
      </c>
    </row>
    <row r="44" spans="1:12" ht="35.25" customHeight="1">
      <c r="A44" s="30">
        <v>33</v>
      </c>
      <c r="B44" s="31" t="s">
        <v>1411</v>
      </c>
      <c r="C44" s="28">
        <f t="shared" si="1"/>
        <v>18414.414402999999</v>
      </c>
      <c r="D44" s="25">
        <v>15913</v>
      </c>
      <c r="E44" s="25">
        <v>2501.4144030000002</v>
      </c>
      <c r="F44" s="25">
        <v>0</v>
      </c>
      <c r="G44" s="25">
        <v>15719.760738000001</v>
      </c>
      <c r="H44" s="33">
        <f t="shared" si="2"/>
        <v>2694.653664999998</v>
      </c>
      <c r="I44" s="25">
        <v>410.41648500000002</v>
      </c>
      <c r="J44" s="25">
        <v>2284.2371800000001</v>
      </c>
    </row>
    <row r="45" spans="1:12" ht="25.5" customHeight="1">
      <c r="A45" s="30">
        <v>34</v>
      </c>
      <c r="B45" s="32" t="s">
        <v>1083</v>
      </c>
      <c r="C45" s="28">
        <f t="shared" ref="C45:C83" si="3">+D45+E45+F45</f>
        <v>11921.777122</v>
      </c>
      <c r="D45" s="25">
        <v>10181</v>
      </c>
      <c r="E45" s="25">
        <v>1740.777122</v>
      </c>
      <c r="F45" s="25">
        <v>0</v>
      </c>
      <c r="G45" s="25">
        <v>11435.8995</v>
      </c>
      <c r="H45" s="33">
        <f t="shared" ref="H45:H83" si="4">C45-G45</f>
        <v>485.87762199999997</v>
      </c>
      <c r="I45" s="25">
        <v>62.823622</v>
      </c>
      <c r="J45" s="25">
        <v>423.05399999999997</v>
      </c>
    </row>
    <row r="46" spans="1:12" ht="39" customHeight="1">
      <c r="A46" s="30">
        <v>35</v>
      </c>
      <c r="B46" s="31" t="s">
        <v>1394</v>
      </c>
      <c r="C46" s="28">
        <f t="shared" si="3"/>
        <v>22010.057785999998</v>
      </c>
      <c r="D46" s="25">
        <v>16846</v>
      </c>
      <c r="E46" s="25">
        <v>8976.4497859999992</v>
      </c>
      <c r="F46" s="25">
        <f>-3812.392</f>
        <v>-3812.3919999999998</v>
      </c>
      <c r="G46" s="25">
        <v>9566.8692769999998</v>
      </c>
      <c r="H46" s="33">
        <f t="shared" si="4"/>
        <v>12443.188508999998</v>
      </c>
      <c r="I46" s="25">
        <v>11570.120309</v>
      </c>
      <c r="J46" s="25">
        <f>873.0682</f>
        <v>873.06820000000005</v>
      </c>
      <c r="K46" s="386">
        <f>+J46+I46</f>
        <v>12443.188509</v>
      </c>
      <c r="L46" s="386">
        <f>+H46-K46</f>
        <v>0</v>
      </c>
    </row>
    <row r="47" spans="1:12" ht="59.25" customHeight="1">
      <c r="A47" s="30">
        <v>36</v>
      </c>
      <c r="B47" s="228" t="s">
        <v>1395</v>
      </c>
      <c r="C47" s="28">
        <f t="shared" si="3"/>
        <v>2515.1023840000003</v>
      </c>
      <c r="D47" s="25">
        <v>6389</v>
      </c>
      <c r="E47" s="25">
        <v>10.661592000000001</v>
      </c>
      <c r="F47" s="25">
        <v>-3884.5592080000001</v>
      </c>
      <c r="G47" s="25">
        <v>2515.1023839999998</v>
      </c>
      <c r="H47" s="33">
        <f t="shared" si="4"/>
        <v>0</v>
      </c>
      <c r="I47" s="25">
        <v>0</v>
      </c>
      <c r="J47" s="25">
        <v>0</v>
      </c>
    </row>
    <row r="48" spans="1:12" ht="63">
      <c r="A48" s="30">
        <v>37</v>
      </c>
      <c r="B48" s="228" t="s">
        <v>1396</v>
      </c>
      <c r="C48" s="28">
        <f t="shared" si="3"/>
        <v>22641.356</v>
      </c>
      <c r="D48" s="25">
        <v>6344</v>
      </c>
      <c r="E48" s="25">
        <v>16379.356</v>
      </c>
      <c r="F48" s="25">
        <v>-82</v>
      </c>
      <c r="G48" s="25">
        <v>22641.356</v>
      </c>
      <c r="H48" s="33">
        <f t="shared" si="4"/>
        <v>0</v>
      </c>
      <c r="I48" s="25">
        <v>0</v>
      </c>
      <c r="J48" s="25">
        <v>0</v>
      </c>
    </row>
    <row r="49" spans="1:10" ht="39.75" customHeight="1">
      <c r="A49" s="30">
        <v>38</v>
      </c>
      <c r="B49" s="228" t="s">
        <v>1376</v>
      </c>
      <c r="C49" s="28">
        <f t="shared" si="3"/>
        <v>18524.599999999999</v>
      </c>
      <c r="D49" s="25">
        <v>16310</v>
      </c>
      <c r="E49" s="25">
        <v>2214.6</v>
      </c>
      <c r="F49" s="25">
        <v>0</v>
      </c>
      <c r="G49" s="25">
        <v>18354.839</v>
      </c>
      <c r="H49" s="33">
        <f t="shared" si="4"/>
        <v>169.7609999999986</v>
      </c>
      <c r="I49" s="25">
        <v>169.761</v>
      </c>
      <c r="J49" s="25">
        <v>0</v>
      </c>
    </row>
    <row r="50" spans="1:10" ht="53.25" customHeight="1">
      <c r="A50" s="30">
        <v>39</v>
      </c>
      <c r="B50" s="24" t="s">
        <v>121</v>
      </c>
      <c r="C50" s="28">
        <f>+D50+E50+F50</f>
        <v>76016</v>
      </c>
      <c r="D50" s="28">
        <v>34000</v>
      </c>
      <c r="E50" s="25">
        <v>42016</v>
      </c>
      <c r="F50" s="36"/>
      <c r="G50" s="25">
        <v>68298.461511999994</v>
      </c>
      <c r="H50" s="33">
        <f>C50-G50</f>
        <v>7717.5384880000056</v>
      </c>
      <c r="I50" s="33">
        <f>+H50</f>
        <v>7717.5384880000056</v>
      </c>
      <c r="J50" s="28">
        <f>H50-I50</f>
        <v>0</v>
      </c>
    </row>
    <row r="51" spans="1:10" ht="39.75" customHeight="1">
      <c r="A51" s="30">
        <v>40</v>
      </c>
      <c r="B51" s="31" t="s">
        <v>1392</v>
      </c>
      <c r="C51" s="28">
        <f t="shared" si="3"/>
        <v>19071.920919999997</v>
      </c>
      <c r="D51" s="25">
        <v>1700</v>
      </c>
      <c r="E51" s="25">
        <v>17531.920919999997</v>
      </c>
      <c r="F51" s="25">
        <v>-160</v>
      </c>
      <c r="G51" s="25">
        <v>17917.707419999999</v>
      </c>
      <c r="H51" s="33">
        <f t="shared" si="4"/>
        <v>1154.213499999998</v>
      </c>
      <c r="I51" s="25">
        <v>0</v>
      </c>
      <c r="J51" s="25">
        <v>1154.2135000000001</v>
      </c>
    </row>
    <row r="52" spans="1:10" ht="28.5" customHeight="1">
      <c r="A52" s="30">
        <v>41</v>
      </c>
      <c r="B52" s="24" t="s">
        <v>107</v>
      </c>
      <c r="C52" s="28">
        <f t="shared" ref="C52:C58" si="5">+D52+E52+F52</f>
        <v>98023.719924000005</v>
      </c>
      <c r="D52" s="28">
        <v>90540</v>
      </c>
      <c r="E52" s="28">
        <v>23286.719924000005</v>
      </c>
      <c r="F52" s="28">
        <v>-15803</v>
      </c>
      <c r="G52" s="28">
        <f>94258.129999+84.781884</f>
        <v>94342.911882999993</v>
      </c>
      <c r="H52" s="25">
        <f t="shared" ref="H52:H58" si="6">C52-G52</f>
        <v>3680.8080410000111</v>
      </c>
      <c r="I52" s="28">
        <v>3765.7256189999998</v>
      </c>
      <c r="J52" s="28"/>
    </row>
    <row r="53" spans="1:10" ht="36.75" customHeight="1">
      <c r="A53" s="30">
        <v>42</v>
      </c>
      <c r="B53" s="24" t="s">
        <v>1413</v>
      </c>
      <c r="C53" s="28">
        <f t="shared" si="5"/>
        <v>10821.363518</v>
      </c>
      <c r="D53" s="275">
        <v>8810</v>
      </c>
      <c r="E53" s="398">
        <v>2192.4063919999999</v>
      </c>
      <c r="F53" s="399">
        <v>-181.04287400000001</v>
      </c>
      <c r="G53" s="28">
        <v>10821.363518</v>
      </c>
      <c r="H53" s="33">
        <f t="shared" si="6"/>
        <v>0</v>
      </c>
      <c r="I53" s="34"/>
      <c r="J53" s="28">
        <f t="shared" ref="J53:J58" si="7">H53-I53</f>
        <v>0</v>
      </c>
    </row>
    <row r="54" spans="1:10" ht="36.75" customHeight="1">
      <c r="A54" s="30">
        <v>43</v>
      </c>
      <c r="B54" s="24" t="s">
        <v>108</v>
      </c>
      <c r="C54" s="28">
        <f t="shared" si="5"/>
        <v>48889.414691999998</v>
      </c>
      <c r="D54" s="28">
        <v>48075</v>
      </c>
      <c r="E54" s="28">
        <v>2377.4146919999998</v>
      </c>
      <c r="F54" s="28">
        <v>-1563</v>
      </c>
      <c r="G54" s="28">
        <v>48889.242491999998</v>
      </c>
      <c r="H54" s="33">
        <f t="shared" si="6"/>
        <v>0.17220000000088476</v>
      </c>
      <c r="I54" s="34"/>
      <c r="J54" s="28">
        <f t="shared" si="7"/>
        <v>0.17220000000088476</v>
      </c>
    </row>
    <row r="55" spans="1:10" ht="28.5" customHeight="1">
      <c r="A55" s="30">
        <v>44</v>
      </c>
      <c r="B55" s="24" t="s">
        <v>109</v>
      </c>
      <c r="C55" s="28">
        <f t="shared" si="5"/>
        <v>25795</v>
      </c>
      <c r="D55" s="35">
        <v>13600</v>
      </c>
      <c r="E55" s="33">
        <v>12195</v>
      </c>
      <c r="F55" s="36"/>
      <c r="G55" s="25">
        <v>25794.71</v>
      </c>
      <c r="H55" s="33">
        <f t="shared" si="6"/>
        <v>0.29000000000087311</v>
      </c>
      <c r="I55" s="36"/>
      <c r="J55" s="28">
        <f t="shared" si="7"/>
        <v>0.29000000000087311</v>
      </c>
    </row>
    <row r="56" spans="1:10" ht="40.5" customHeight="1">
      <c r="A56" s="30">
        <v>45</v>
      </c>
      <c r="B56" s="24" t="s">
        <v>118</v>
      </c>
      <c r="C56" s="28">
        <f t="shared" si="5"/>
        <v>1917</v>
      </c>
      <c r="D56" s="36">
        <v>700</v>
      </c>
      <c r="E56" s="25">
        <v>1217</v>
      </c>
      <c r="F56" s="36"/>
      <c r="G56" s="25">
        <v>1887</v>
      </c>
      <c r="H56" s="33">
        <f t="shared" si="6"/>
        <v>30</v>
      </c>
      <c r="I56" s="36"/>
      <c r="J56" s="28">
        <f t="shared" si="7"/>
        <v>30</v>
      </c>
    </row>
    <row r="57" spans="1:10" ht="42.75" customHeight="1">
      <c r="A57" s="30">
        <v>46</v>
      </c>
      <c r="B57" s="24" t="s">
        <v>113</v>
      </c>
      <c r="C57" s="28">
        <f t="shared" si="5"/>
        <v>361590.26081000001</v>
      </c>
      <c r="D57" s="25">
        <v>353648</v>
      </c>
      <c r="E57" s="25">
        <v>7942.260810000007</v>
      </c>
      <c r="F57" s="36"/>
      <c r="G57" s="25">
        <v>361590.26081000001</v>
      </c>
      <c r="H57" s="33">
        <f t="shared" si="6"/>
        <v>0</v>
      </c>
      <c r="I57" s="36"/>
      <c r="J57" s="28">
        <f t="shared" si="7"/>
        <v>0</v>
      </c>
    </row>
    <row r="58" spans="1:10" ht="72.75" customHeight="1">
      <c r="A58" s="30">
        <v>47</v>
      </c>
      <c r="B58" s="24" t="s">
        <v>117</v>
      </c>
      <c r="C58" s="28">
        <f t="shared" si="5"/>
        <v>58791</v>
      </c>
      <c r="D58" s="25">
        <v>32450</v>
      </c>
      <c r="E58" s="25">
        <v>26341</v>
      </c>
      <c r="F58" s="36"/>
      <c r="G58" s="25">
        <v>58791</v>
      </c>
      <c r="H58" s="33">
        <f t="shared" si="6"/>
        <v>0</v>
      </c>
      <c r="I58" s="36"/>
      <c r="J58" s="28">
        <f t="shared" si="7"/>
        <v>0</v>
      </c>
    </row>
    <row r="59" spans="1:10" ht="24" customHeight="1">
      <c r="A59" s="30">
        <v>48</v>
      </c>
      <c r="B59" s="32" t="s">
        <v>1378</v>
      </c>
      <c r="C59" s="28">
        <f t="shared" si="3"/>
        <v>3195.307542</v>
      </c>
      <c r="D59" s="25">
        <v>2175</v>
      </c>
      <c r="E59" s="25">
        <v>1020.307542</v>
      </c>
      <c r="F59" s="25">
        <v>0</v>
      </c>
      <c r="G59" s="25">
        <v>3195.307542</v>
      </c>
      <c r="H59" s="33">
        <f t="shared" si="4"/>
        <v>0</v>
      </c>
      <c r="I59" s="25">
        <v>0</v>
      </c>
      <c r="J59" s="25">
        <v>0</v>
      </c>
    </row>
    <row r="60" spans="1:10" ht="24" customHeight="1">
      <c r="A60" s="30">
        <v>49</v>
      </c>
      <c r="B60" s="32" t="s">
        <v>1084</v>
      </c>
      <c r="C60" s="28">
        <f t="shared" si="3"/>
        <v>750</v>
      </c>
      <c r="D60" s="25">
        <v>600</v>
      </c>
      <c r="E60" s="25">
        <v>150</v>
      </c>
      <c r="F60" s="25">
        <v>0</v>
      </c>
      <c r="G60" s="25">
        <v>750</v>
      </c>
      <c r="H60" s="33">
        <f t="shared" si="4"/>
        <v>0</v>
      </c>
      <c r="I60" s="25">
        <v>0</v>
      </c>
      <c r="J60" s="25">
        <v>0</v>
      </c>
    </row>
    <row r="61" spans="1:10" ht="24" customHeight="1">
      <c r="A61" s="30">
        <v>50</v>
      </c>
      <c r="B61" s="32" t="s">
        <v>1085</v>
      </c>
      <c r="C61" s="28">
        <f t="shared" si="3"/>
        <v>350</v>
      </c>
      <c r="D61" s="25">
        <v>350</v>
      </c>
      <c r="E61" s="25">
        <v>0</v>
      </c>
      <c r="F61" s="25">
        <v>0</v>
      </c>
      <c r="G61" s="25">
        <v>350</v>
      </c>
      <c r="H61" s="33">
        <f t="shared" si="4"/>
        <v>0</v>
      </c>
      <c r="I61" s="25">
        <v>0</v>
      </c>
      <c r="J61" s="25">
        <v>0</v>
      </c>
    </row>
    <row r="62" spans="1:10" ht="42.75" customHeight="1">
      <c r="A62" s="30">
        <v>51</v>
      </c>
      <c r="B62" s="32" t="s">
        <v>1403</v>
      </c>
      <c r="C62" s="28">
        <f t="shared" si="3"/>
        <v>555</v>
      </c>
      <c r="D62" s="25">
        <v>510</v>
      </c>
      <c r="E62" s="25">
        <v>45</v>
      </c>
      <c r="F62" s="25">
        <v>0</v>
      </c>
      <c r="G62" s="25">
        <v>555</v>
      </c>
      <c r="H62" s="33">
        <f t="shared" si="4"/>
        <v>0</v>
      </c>
      <c r="I62" s="25">
        <v>0</v>
      </c>
      <c r="J62" s="25">
        <v>0</v>
      </c>
    </row>
    <row r="63" spans="1:10" ht="38.25" customHeight="1">
      <c r="A63" s="30">
        <v>52</v>
      </c>
      <c r="B63" s="32" t="s">
        <v>1223</v>
      </c>
      <c r="C63" s="28">
        <f t="shared" si="3"/>
        <v>640</v>
      </c>
      <c r="D63" s="25">
        <v>570</v>
      </c>
      <c r="E63" s="25">
        <v>70</v>
      </c>
      <c r="F63" s="25">
        <v>0</v>
      </c>
      <c r="G63" s="25">
        <v>640</v>
      </c>
      <c r="H63" s="33">
        <f t="shared" si="4"/>
        <v>0</v>
      </c>
      <c r="I63" s="25">
        <v>0</v>
      </c>
      <c r="J63" s="25">
        <v>0</v>
      </c>
    </row>
    <row r="64" spans="1:10" ht="38.25" customHeight="1">
      <c r="A64" s="30">
        <v>53</v>
      </c>
      <c r="B64" s="32" t="s">
        <v>1086</v>
      </c>
      <c r="C64" s="28">
        <f t="shared" si="3"/>
        <v>510</v>
      </c>
      <c r="D64" s="25">
        <v>420</v>
      </c>
      <c r="E64" s="25">
        <v>90</v>
      </c>
      <c r="F64" s="25">
        <v>0</v>
      </c>
      <c r="G64" s="25">
        <v>510</v>
      </c>
      <c r="H64" s="33">
        <f t="shared" si="4"/>
        <v>0</v>
      </c>
      <c r="I64" s="25">
        <v>0</v>
      </c>
      <c r="J64" s="25">
        <v>0</v>
      </c>
    </row>
    <row r="65" spans="1:10" ht="24" customHeight="1">
      <c r="A65" s="30">
        <v>54</v>
      </c>
      <c r="B65" s="32" t="s">
        <v>1087</v>
      </c>
      <c r="C65" s="28">
        <f t="shared" si="3"/>
        <v>925.5</v>
      </c>
      <c r="D65" s="25">
        <v>525</v>
      </c>
      <c r="E65" s="25">
        <v>400.5</v>
      </c>
      <c r="F65" s="25">
        <v>0</v>
      </c>
      <c r="G65" s="25">
        <v>925.5</v>
      </c>
      <c r="H65" s="33">
        <f t="shared" si="4"/>
        <v>0</v>
      </c>
      <c r="I65" s="25">
        <v>0</v>
      </c>
      <c r="J65" s="25">
        <v>0</v>
      </c>
    </row>
    <row r="66" spans="1:10" ht="24" customHeight="1">
      <c r="A66" s="30">
        <v>55</v>
      </c>
      <c r="B66" s="32" t="s">
        <v>1088</v>
      </c>
      <c r="C66" s="28">
        <f t="shared" si="3"/>
        <v>667.71</v>
      </c>
      <c r="D66" s="25">
        <v>550</v>
      </c>
      <c r="E66" s="25">
        <v>117.71</v>
      </c>
      <c r="F66" s="25">
        <v>0</v>
      </c>
      <c r="G66" s="25">
        <v>667.71</v>
      </c>
      <c r="H66" s="33">
        <f t="shared" si="4"/>
        <v>0</v>
      </c>
      <c r="I66" s="25">
        <v>0</v>
      </c>
      <c r="J66" s="25">
        <v>0</v>
      </c>
    </row>
    <row r="67" spans="1:10" ht="39.75" customHeight="1">
      <c r="A67" s="30">
        <v>56</v>
      </c>
      <c r="B67" s="32" t="s">
        <v>1089</v>
      </c>
      <c r="C67" s="28">
        <f t="shared" si="3"/>
        <v>1906.9</v>
      </c>
      <c r="D67" s="25">
        <v>1140</v>
      </c>
      <c r="E67" s="25">
        <v>766.9</v>
      </c>
      <c r="F67" s="25">
        <v>0</v>
      </c>
      <c r="G67" s="25">
        <v>1906.9</v>
      </c>
      <c r="H67" s="33">
        <f t="shared" si="4"/>
        <v>0</v>
      </c>
      <c r="I67" s="25">
        <v>0</v>
      </c>
      <c r="J67" s="25">
        <v>0</v>
      </c>
    </row>
    <row r="68" spans="1:10" ht="48.75" customHeight="1">
      <c r="A68" s="30">
        <v>57</v>
      </c>
      <c r="B68" s="32" t="s">
        <v>1090</v>
      </c>
      <c r="C68" s="28">
        <f t="shared" si="3"/>
        <v>1391.1938</v>
      </c>
      <c r="D68" s="25">
        <v>1090</v>
      </c>
      <c r="E68" s="25">
        <v>301.19380000000001</v>
      </c>
      <c r="F68" s="25">
        <v>0</v>
      </c>
      <c r="G68" s="25">
        <v>1391.1938</v>
      </c>
      <c r="H68" s="33">
        <f t="shared" si="4"/>
        <v>0</v>
      </c>
      <c r="I68" s="25">
        <v>0</v>
      </c>
      <c r="J68" s="25">
        <v>0</v>
      </c>
    </row>
    <row r="69" spans="1:10" ht="87.75" customHeight="1">
      <c r="A69" s="30">
        <v>58</v>
      </c>
      <c r="B69" s="228" t="s">
        <v>1398</v>
      </c>
      <c r="C69" s="28">
        <f t="shared" si="3"/>
        <v>683.26467700000001</v>
      </c>
      <c r="D69" s="25">
        <v>500</v>
      </c>
      <c r="E69" s="25">
        <v>183.26467700000001</v>
      </c>
      <c r="F69" s="25">
        <v>0</v>
      </c>
      <c r="G69" s="25">
        <f>493.841+183.264677</f>
        <v>677.10567700000001</v>
      </c>
      <c r="H69" s="33">
        <f t="shared" si="4"/>
        <v>6.1589999999999918</v>
      </c>
      <c r="I69" s="25">
        <v>6.1589999999999998</v>
      </c>
      <c r="J69" s="25">
        <v>0</v>
      </c>
    </row>
    <row r="70" spans="1:10" ht="37.5" customHeight="1">
      <c r="A70" s="30">
        <v>59</v>
      </c>
      <c r="B70" s="32" t="s">
        <v>1379</v>
      </c>
      <c r="C70" s="28">
        <f t="shared" si="3"/>
        <v>5352.7904150000004</v>
      </c>
      <c r="D70" s="25">
        <v>540</v>
      </c>
      <c r="E70" s="25">
        <v>4812.7904150000004</v>
      </c>
      <c r="F70" s="25">
        <v>0</v>
      </c>
      <c r="G70" s="25">
        <v>5347.6363040000006</v>
      </c>
      <c r="H70" s="33">
        <f t="shared" si="4"/>
        <v>5.1541109999998298</v>
      </c>
      <c r="I70" s="25">
        <v>5.1539999999999999</v>
      </c>
      <c r="J70" s="25">
        <v>1.11E-4</v>
      </c>
    </row>
    <row r="71" spans="1:10" ht="37.5" customHeight="1">
      <c r="A71" s="30">
        <v>60</v>
      </c>
      <c r="B71" s="32" t="s">
        <v>1091</v>
      </c>
      <c r="C71" s="28">
        <f t="shared" si="3"/>
        <v>570</v>
      </c>
      <c r="D71" s="25">
        <v>380</v>
      </c>
      <c r="E71" s="25">
        <v>190</v>
      </c>
      <c r="F71" s="25">
        <v>0</v>
      </c>
      <c r="G71" s="25">
        <v>570</v>
      </c>
      <c r="H71" s="33">
        <f t="shared" si="4"/>
        <v>0</v>
      </c>
      <c r="I71" s="25">
        <v>0</v>
      </c>
      <c r="J71" s="25">
        <v>0</v>
      </c>
    </row>
    <row r="72" spans="1:10" ht="37.5" customHeight="1">
      <c r="A72" s="30">
        <v>61</v>
      </c>
      <c r="B72" s="32" t="s">
        <v>1399</v>
      </c>
      <c r="C72" s="28">
        <f t="shared" si="3"/>
        <v>1363.7670000000001</v>
      </c>
      <c r="D72" s="25">
        <v>1150</v>
      </c>
      <c r="E72" s="25">
        <v>213.767</v>
      </c>
      <c r="F72" s="25">
        <v>0</v>
      </c>
      <c r="G72" s="25">
        <v>1252.55159</v>
      </c>
      <c r="H72" s="33">
        <f t="shared" si="4"/>
        <v>111.21541000000002</v>
      </c>
      <c r="I72" s="25">
        <v>104.5463</v>
      </c>
      <c r="J72" s="25">
        <v>6.6691099999999999</v>
      </c>
    </row>
    <row r="73" spans="1:10" ht="37.5" customHeight="1">
      <c r="A73" s="30">
        <v>62</v>
      </c>
      <c r="B73" s="32" t="s">
        <v>1092</v>
      </c>
      <c r="C73" s="28">
        <f t="shared" si="3"/>
        <v>6072.9647660000001</v>
      </c>
      <c r="D73" s="25">
        <v>800</v>
      </c>
      <c r="E73" s="25">
        <v>5272.9647660000001</v>
      </c>
      <c r="F73" s="25">
        <v>0</v>
      </c>
      <c r="G73" s="25">
        <v>6061.3695299999999</v>
      </c>
      <c r="H73" s="33">
        <f t="shared" si="4"/>
        <v>11.595236000000114</v>
      </c>
      <c r="I73" s="25">
        <v>3.4980000000000002</v>
      </c>
      <c r="J73" s="25">
        <v>8.0972360000000005</v>
      </c>
    </row>
    <row r="74" spans="1:10" ht="37.5" customHeight="1">
      <c r="A74" s="30">
        <v>63</v>
      </c>
      <c r="B74" s="32" t="s">
        <v>1387</v>
      </c>
      <c r="C74" s="28">
        <f t="shared" si="3"/>
        <v>4588.3227480000005</v>
      </c>
      <c r="D74" s="25">
        <v>3780</v>
      </c>
      <c r="E74" s="25">
        <v>951.32274800000005</v>
      </c>
      <c r="F74" s="25">
        <v>-143</v>
      </c>
      <c r="G74" s="25">
        <v>4501.315748</v>
      </c>
      <c r="H74" s="33">
        <f t="shared" si="4"/>
        <v>87.007000000000517</v>
      </c>
      <c r="I74" s="25">
        <v>15.087</v>
      </c>
      <c r="J74" s="25">
        <v>71.92</v>
      </c>
    </row>
    <row r="75" spans="1:10" ht="37.5" customHeight="1">
      <c r="A75" s="30">
        <v>64</v>
      </c>
      <c r="B75" s="32" t="s">
        <v>1093</v>
      </c>
      <c r="C75" s="28">
        <f t="shared" si="3"/>
        <v>277</v>
      </c>
      <c r="D75" s="25">
        <v>200</v>
      </c>
      <c r="E75" s="25">
        <v>77</v>
      </c>
      <c r="F75" s="25">
        <v>0</v>
      </c>
      <c r="G75" s="25">
        <v>277</v>
      </c>
      <c r="H75" s="33">
        <f t="shared" si="4"/>
        <v>0</v>
      </c>
      <c r="I75" s="25">
        <v>0</v>
      </c>
      <c r="J75" s="25">
        <v>0</v>
      </c>
    </row>
    <row r="76" spans="1:10" ht="37.5" customHeight="1">
      <c r="A76" s="30">
        <v>65</v>
      </c>
      <c r="B76" s="32" t="s">
        <v>1094</v>
      </c>
      <c r="C76" s="28">
        <f t="shared" si="3"/>
        <v>130</v>
      </c>
      <c r="D76" s="25">
        <v>100</v>
      </c>
      <c r="E76" s="25">
        <v>30</v>
      </c>
      <c r="F76" s="25">
        <v>0</v>
      </c>
      <c r="G76" s="25">
        <v>130</v>
      </c>
      <c r="H76" s="33">
        <f t="shared" si="4"/>
        <v>0</v>
      </c>
      <c r="I76" s="25">
        <v>0</v>
      </c>
      <c r="J76" s="25">
        <v>0</v>
      </c>
    </row>
    <row r="77" spans="1:10" ht="37.5" customHeight="1">
      <c r="A77" s="30">
        <v>66</v>
      </c>
      <c r="B77" s="32" t="s">
        <v>1095</v>
      </c>
      <c r="C77" s="28">
        <f t="shared" si="3"/>
        <v>100</v>
      </c>
      <c r="D77" s="25">
        <v>100</v>
      </c>
      <c r="E77" s="25">
        <v>0</v>
      </c>
      <c r="F77" s="25">
        <v>0</v>
      </c>
      <c r="G77" s="25">
        <v>100</v>
      </c>
      <c r="H77" s="33">
        <f t="shared" si="4"/>
        <v>0</v>
      </c>
      <c r="I77" s="25">
        <v>0</v>
      </c>
      <c r="J77" s="25">
        <v>0</v>
      </c>
    </row>
    <row r="78" spans="1:10" ht="37.5" customHeight="1">
      <c r="A78" s="30">
        <v>67</v>
      </c>
      <c r="B78" s="32" t="s">
        <v>1096</v>
      </c>
      <c r="C78" s="28">
        <f t="shared" si="3"/>
        <v>250</v>
      </c>
      <c r="D78" s="25">
        <v>150</v>
      </c>
      <c r="E78" s="25">
        <v>100</v>
      </c>
      <c r="F78" s="25">
        <v>0</v>
      </c>
      <c r="G78" s="25">
        <v>250</v>
      </c>
      <c r="H78" s="33">
        <f t="shared" si="4"/>
        <v>0</v>
      </c>
      <c r="I78" s="25">
        <v>0</v>
      </c>
      <c r="J78" s="25">
        <v>0</v>
      </c>
    </row>
    <row r="79" spans="1:10" ht="37.5" customHeight="1">
      <c r="A79" s="30">
        <v>68</v>
      </c>
      <c r="B79" s="32" t="s">
        <v>1097</v>
      </c>
      <c r="C79" s="28">
        <f t="shared" si="3"/>
        <v>160</v>
      </c>
      <c r="D79" s="25">
        <v>70</v>
      </c>
      <c r="E79" s="25">
        <v>90</v>
      </c>
      <c r="F79" s="25">
        <v>0</v>
      </c>
      <c r="G79" s="25">
        <v>160</v>
      </c>
      <c r="H79" s="33">
        <f t="shared" si="4"/>
        <v>0</v>
      </c>
      <c r="I79" s="25">
        <v>0</v>
      </c>
      <c r="J79" s="25">
        <v>0</v>
      </c>
    </row>
    <row r="80" spans="1:10" ht="37.5" customHeight="1">
      <c r="A80" s="30">
        <v>69</v>
      </c>
      <c r="B80" s="32" t="s">
        <v>1098</v>
      </c>
      <c r="C80" s="28">
        <f t="shared" si="3"/>
        <v>90</v>
      </c>
      <c r="D80" s="25">
        <v>90</v>
      </c>
      <c r="E80" s="25">
        <v>0</v>
      </c>
      <c r="F80" s="25">
        <v>0</v>
      </c>
      <c r="G80" s="25">
        <v>90</v>
      </c>
      <c r="H80" s="33">
        <f t="shared" si="4"/>
        <v>0</v>
      </c>
      <c r="I80" s="25">
        <v>0</v>
      </c>
      <c r="J80" s="25">
        <v>0</v>
      </c>
    </row>
    <row r="81" spans="1:12" ht="27" customHeight="1">
      <c r="A81" s="30">
        <v>70</v>
      </c>
      <c r="B81" s="24" t="s">
        <v>119</v>
      </c>
      <c r="C81" s="28">
        <f>+D81+E81+F81</f>
        <v>69.360399999999998</v>
      </c>
      <c r="D81" s="36">
        <v>40</v>
      </c>
      <c r="E81" s="25">
        <v>29.360399999999998</v>
      </c>
      <c r="F81" s="36"/>
      <c r="G81" s="25">
        <v>49.960500000000003</v>
      </c>
      <c r="H81" s="33">
        <f>C81-G81</f>
        <v>19.399899999999995</v>
      </c>
      <c r="I81" s="36"/>
      <c r="J81" s="28">
        <f>H81-I81</f>
        <v>19.399899999999995</v>
      </c>
    </row>
    <row r="82" spans="1:12" ht="45">
      <c r="A82" s="30">
        <v>71</v>
      </c>
      <c r="B82" s="24" t="s">
        <v>120</v>
      </c>
      <c r="C82" s="28">
        <f>+D82+E82+F82</f>
        <v>100</v>
      </c>
      <c r="D82" s="36">
        <v>100</v>
      </c>
      <c r="E82" s="25"/>
      <c r="F82" s="36"/>
      <c r="G82" s="25">
        <v>100</v>
      </c>
      <c r="H82" s="33">
        <f>C82-G82</f>
        <v>0</v>
      </c>
      <c r="I82" s="36"/>
      <c r="J82" s="28">
        <f>H82-I82</f>
        <v>0</v>
      </c>
    </row>
    <row r="83" spans="1:12" ht="30">
      <c r="A83" s="30">
        <v>72</v>
      </c>
      <c r="B83" s="32" t="s">
        <v>1099</v>
      </c>
      <c r="C83" s="28">
        <f t="shared" si="3"/>
        <v>80</v>
      </c>
      <c r="D83" s="25">
        <v>80</v>
      </c>
      <c r="E83" s="25">
        <v>0</v>
      </c>
      <c r="F83" s="25">
        <v>0</v>
      </c>
      <c r="G83" s="25">
        <v>80</v>
      </c>
      <c r="H83" s="33">
        <f t="shared" si="4"/>
        <v>0</v>
      </c>
      <c r="I83" s="25">
        <v>0</v>
      </c>
      <c r="J83" s="25">
        <v>0</v>
      </c>
    </row>
    <row r="84" spans="1:12" ht="45">
      <c r="A84" s="30">
        <v>73</v>
      </c>
      <c r="B84" s="24" t="s">
        <v>110</v>
      </c>
      <c r="C84" s="28">
        <f t="shared" ref="C84:C88" si="8">+D84+E84+F84</f>
        <v>35</v>
      </c>
      <c r="D84" s="36">
        <v>35</v>
      </c>
      <c r="E84" s="25"/>
      <c r="F84" s="36"/>
      <c r="G84" s="25">
        <v>35</v>
      </c>
      <c r="H84" s="33">
        <f t="shared" ref="H84:H88" si="9">C84-G84</f>
        <v>0</v>
      </c>
      <c r="I84" s="36"/>
      <c r="J84" s="28">
        <f t="shared" ref="J84:J91" si="10">H84-I84</f>
        <v>0</v>
      </c>
    </row>
    <row r="85" spans="1:12" ht="45">
      <c r="A85" s="30">
        <v>74</v>
      </c>
      <c r="B85" s="24" t="s">
        <v>115</v>
      </c>
      <c r="C85" s="28">
        <f>+D85+E85+F85</f>
        <v>30</v>
      </c>
      <c r="D85" s="36">
        <v>30</v>
      </c>
      <c r="E85" s="25"/>
      <c r="F85" s="36"/>
      <c r="G85" s="25">
        <v>30</v>
      </c>
      <c r="H85" s="33">
        <f>C85-G85</f>
        <v>0</v>
      </c>
      <c r="I85" s="36"/>
      <c r="J85" s="28">
        <f>H85-I85</f>
        <v>0</v>
      </c>
    </row>
    <row r="86" spans="1:12" ht="30">
      <c r="A86" s="30">
        <v>75</v>
      </c>
      <c r="B86" s="39" t="s">
        <v>1400</v>
      </c>
      <c r="C86" s="28">
        <f>+D86+E86+F86</f>
        <v>1915.925</v>
      </c>
      <c r="D86" s="400">
        <v>1660</v>
      </c>
      <c r="E86" s="400">
        <v>255.92500000000001</v>
      </c>
      <c r="F86" s="400">
        <v>0</v>
      </c>
      <c r="G86" s="400">
        <v>1915.925</v>
      </c>
      <c r="H86" s="401">
        <f>C86-G86</f>
        <v>0</v>
      </c>
      <c r="I86" s="400">
        <v>0</v>
      </c>
      <c r="J86" s="400">
        <v>0</v>
      </c>
    </row>
    <row r="87" spans="1:12" ht="60">
      <c r="A87" s="30">
        <v>76</v>
      </c>
      <c r="B87" s="24" t="s">
        <v>111</v>
      </c>
      <c r="C87" s="28">
        <f t="shared" si="8"/>
        <v>120</v>
      </c>
      <c r="D87" s="36"/>
      <c r="E87" s="25">
        <v>120</v>
      </c>
      <c r="F87" s="36"/>
      <c r="G87" s="25">
        <v>120</v>
      </c>
      <c r="H87" s="33">
        <f t="shared" si="9"/>
        <v>0</v>
      </c>
      <c r="I87" s="36"/>
      <c r="J87" s="28">
        <f t="shared" si="10"/>
        <v>0</v>
      </c>
    </row>
    <row r="88" spans="1:12" ht="72.75" customHeight="1">
      <c r="A88" s="30">
        <v>77</v>
      </c>
      <c r="B88" s="24" t="s">
        <v>112</v>
      </c>
      <c r="C88" s="28">
        <f t="shared" si="8"/>
        <v>18403.305209999999</v>
      </c>
      <c r="D88" s="36"/>
      <c r="E88" s="25">
        <v>18403.305209999999</v>
      </c>
      <c r="F88" s="36"/>
      <c r="G88" s="25">
        <v>18403.305209999999</v>
      </c>
      <c r="H88" s="33">
        <f t="shared" si="9"/>
        <v>0</v>
      </c>
      <c r="I88" s="36"/>
      <c r="J88" s="28">
        <f t="shared" si="10"/>
        <v>0</v>
      </c>
    </row>
    <row r="89" spans="1:12" ht="53.25" customHeight="1">
      <c r="A89" s="30">
        <v>78</v>
      </c>
      <c r="B89" s="24" t="s">
        <v>116</v>
      </c>
      <c r="C89" s="28">
        <f>+D89+E89+F89</f>
        <v>1474.630758</v>
      </c>
      <c r="D89" s="36"/>
      <c r="E89" s="25">
        <v>1474.630758</v>
      </c>
      <c r="F89" s="36"/>
      <c r="G89" s="25">
        <v>1474.630758</v>
      </c>
      <c r="H89" s="33">
        <f>C89-G89</f>
        <v>0</v>
      </c>
      <c r="I89" s="36"/>
      <c r="J89" s="28">
        <f>H89-I89</f>
        <v>0</v>
      </c>
    </row>
    <row r="90" spans="1:12" ht="54.75" customHeight="1">
      <c r="A90" s="30">
        <v>79</v>
      </c>
      <c r="B90" s="228" t="s">
        <v>1404</v>
      </c>
      <c r="C90" s="28">
        <v>54763.013720999996</v>
      </c>
      <c r="D90" s="28">
        <v>0</v>
      </c>
      <c r="E90" s="28">
        <v>54763.013720999996</v>
      </c>
      <c r="F90" s="28">
        <v>0</v>
      </c>
      <c r="G90" s="28">
        <v>54383.853421</v>
      </c>
      <c r="H90" s="28">
        <v>379.16029999999995</v>
      </c>
      <c r="I90" s="28">
        <v>0</v>
      </c>
      <c r="J90" s="28">
        <v>379.16029999999995</v>
      </c>
      <c r="K90" s="386"/>
      <c r="L90" s="386">
        <f>+G90-'56_NĐ31'!D91</f>
        <v>0</v>
      </c>
    </row>
    <row r="91" spans="1:12" ht="73.5" customHeight="1">
      <c r="A91" s="237">
        <v>80</v>
      </c>
      <c r="B91" s="238" t="s">
        <v>1100</v>
      </c>
      <c r="C91" s="402">
        <f t="shared" ref="C91" si="11">+D91+E91+F91</f>
        <v>11046.167873</v>
      </c>
      <c r="D91" s="403"/>
      <c r="E91" s="404">
        <v>11046.167873</v>
      </c>
      <c r="F91" s="403"/>
      <c r="G91" s="404">
        <v>11046.167873</v>
      </c>
      <c r="H91" s="405">
        <f t="shared" ref="H91" si="12">C91-G91</f>
        <v>0</v>
      </c>
      <c r="I91" s="403"/>
      <c r="J91" s="402">
        <f t="shared" si="10"/>
        <v>0</v>
      </c>
    </row>
    <row r="93" spans="1:12" ht="20.25" customHeight="1">
      <c r="B93" s="492" t="s">
        <v>1435</v>
      </c>
      <c r="C93" s="493"/>
      <c r="D93" s="493"/>
      <c r="E93" s="493"/>
      <c r="F93" s="493"/>
      <c r="G93" s="493"/>
      <c r="H93" s="493"/>
      <c r="I93" s="493"/>
    </row>
    <row r="94" spans="1:12">
      <c r="C94" s="386"/>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13" customWidth="1"/>
    <col min="2" max="2" width="23.7109375" style="214" customWidth="1"/>
    <col min="3" max="3" width="16.85546875" style="215" customWidth="1"/>
    <col min="4" max="4" width="14.42578125" style="215" customWidth="1"/>
    <col min="5" max="5" width="14.28515625" style="215" customWidth="1"/>
    <col min="6" max="6" width="8.85546875" style="215" customWidth="1"/>
    <col min="7" max="7" width="9.5703125" style="215" customWidth="1"/>
    <col min="8" max="8" width="9.7109375" style="215" customWidth="1"/>
    <col min="9" max="9" width="9.5703125" style="215" customWidth="1"/>
    <col min="10" max="10" width="9.85546875" style="215" customWidth="1"/>
    <col min="11" max="11" width="10.7109375" style="215" customWidth="1"/>
    <col min="12" max="12" width="8.7109375" style="215" customWidth="1"/>
    <col min="13" max="13" width="10.5703125" style="215" customWidth="1"/>
    <col min="14" max="14" width="12.28515625" style="215" customWidth="1"/>
    <col min="15" max="15" width="11.7109375" style="215" customWidth="1"/>
    <col min="16" max="16" width="11.85546875" style="215" customWidth="1"/>
    <col min="17" max="17" width="9.85546875" style="215" customWidth="1"/>
    <col min="18" max="18" width="7.28515625" style="213" customWidth="1"/>
    <col min="19" max="19" width="9.28515625" style="215" bestFit="1" customWidth="1"/>
    <col min="20" max="16384" width="9.140625" style="215"/>
  </cols>
  <sheetData>
    <row r="1" spans="1:19" ht="15" customHeight="1">
      <c r="N1" s="471" t="s">
        <v>57</v>
      </c>
      <c r="O1" s="471"/>
      <c r="P1" s="471"/>
      <c r="Q1" s="471"/>
      <c r="R1" s="276"/>
    </row>
    <row r="2" spans="1:19" ht="15.75" customHeight="1">
      <c r="N2" s="445" t="s">
        <v>104</v>
      </c>
      <c r="O2" s="445"/>
      <c r="P2" s="445"/>
      <c r="Q2" s="445"/>
    </row>
    <row r="3" spans="1:19">
      <c r="N3" s="445"/>
      <c r="O3" s="445"/>
      <c r="P3" s="445"/>
      <c r="Q3" s="445"/>
    </row>
    <row r="4" spans="1:19">
      <c r="A4" s="471" t="s">
        <v>1384</v>
      </c>
      <c r="B4" s="471"/>
      <c r="C4" s="471"/>
      <c r="D4" s="471"/>
      <c r="E4" s="471"/>
      <c r="F4" s="471"/>
      <c r="G4" s="471"/>
      <c r="H4" s="471"/>
      <c r="I4" s="471"/>
      <c r="J4" s="471"/>
      <c r="K4" s="471"/>
      <c r="L4" s="471"/>
      <c r="M4" s="471"/>
      <c r="N4" s="471"/>
      <c r="O4" s="471"/>
      <c r="P4" s="471"/>
      <c r="Q4" s="471"/>
      <c r="R4" s="471"/>
    </row>
    <row r="5" spans="1:19">
      <c r="A5" s="276"/>
      <c r="B5" s="276"/>
      <c r="C5" s="276"/>
      <c r="D5" s="276"/>
      <c r="E5" s="276"/>
      <c r="F5" s="276"/>
      <c r="G5" s="276"/>
      <c r="H5" s="276"/>
      <c r="I5" s="276"/>
      <c r="J5" s="276"/>
      <c r="K5" s="276"/>
      <c r="L5" s="276"/>
      <c r="M5" s="276"/>
      <c r="N5" s="382"/>
      <c r="O5" s="382"/>
      <c r="P5" s="382"/>
      <c r="Q5" s="276"/>
      <c r="R5" s="276"/>
    </row>
    <row r="6" spans="1:19" hidden="1">
      <c r="A6" s="379"/>
      <c r="B6" s="216"/>
      <c r="C6" s="217">
        <f>+C12-'57_NĐ31'!C11</f>
        <v>0</v>
      </c>
      <c r="D6" s="218">
        <f t="shared" ref="D6:M6" si="0">D7-D12</f>
        <v>0</v>
      </c>
      <c r="E6" s="218">
        <f t="shared" si="0"/>
        <v>0</v>
      </c>
      <c r="F6" s="218">
        <f t="shared" si="0"/>
        <v>0</v>
      </c>
      <c r="G6" s="218">
        <f t="shared" si="0"/>
        <v>0</v>
      </c>
      <c r="H6" s="218">
        <f t="shared" si="0"/>
        <v>0</v>
      </c>
      <c r="I6" s="219">
        <f t="shared" si="0"/>
        <v>0</v>
      </c>
      <c r="J6" s="218">
        <f t="shared" si="0"/>
        <v>0</v>
      </c>
      <c r="K6" s="219">
        <f t="shared" si="0"/>
        <v>0</v>
      </c>
      <c r="L6" s="220">
        <f t="shared" si="0"/>
        <v>0</v>
      </c>
      <c r="M6" s="219">
        <f t="shared" si="0"/>
        <v>0</v>
      </c>
      <c r="N6" s="220"/>
      <c r="O6" s="221"/>
      <c r="P6" s="222"/>
      <c r="Q6" s="218"/>
      <c r="R6" s="379"/>
    </row>
    <row r="7" spans="1:19" hidden="1">
      <c r="D7" s="223">
        <f>'[4]62'!$F$30</f>
        <v>2713620.6496049995</v>
      </c>
      <c r="E7" s="223">
        <f>'[4]62'!$F$33</f>
        <v>629961.20938999997</v>
      </c>
      <c r="F7" s="223">
        <f>'[4]62'!$F$34</f>
        <v>24818.831183999999</v>
      </c>
      <c r="G7" s="223">
        <f>'[4]62'!$F$31</f>
        <v>50486.335692000001</v>
      </c>
      <c r="H7" s="223">
        <f>'[4]62'!$F$32</f>
        <v>20896</v>
      </c>
      <c r="I7" s="223">
        <f>'[4]62'!$F$35</f>
        <v>867656.958079</v>
      </c>
      <c r="J7" s="223">
        <f>'[4]62'!$F$36</f>
        <v>67618.623550999997</v>
      </c>
      <c r="K7" s="223">
        <f>'[4]62'!$F$37</f>
        <v>17014.239000000001</v>
      </c>
      <c r="L7" s="223">
        <f>'[4]62'!$F$38</f>
        <v>24976.649300000001</v>
      </c>
      <c r="M7" s="223">
        <f>'[4]62'!$F$39</f>
        <v>50083.430649000002</v>
      </c>
      <c r="N7" s="223"/>
      <c r="O7" s="223"/>
      <c r="P7" s="223"/>
      <c r="Q7" s="506" t="s">
        <v>20</v>
      </c>
      <c r="R7" s="506"/>
    </row>
    <row r="8" spans="1:19">
      <c r="C8" s="224"/>
      <c r="D8" s="223"/>
      <c r="E8" s="223"/>
      <c r="F8" s="223"/>
      <c r="G8" s="223"/>
      <c r="H8" s="223"/>
      <c r="I8" s="223"/>
      <c r="J8" s="223"/>
      <c r="K8" s="223"/>
      <c r="L8" s="223"/>
      <c r="M8" s="223"/>
      <c r="N8" s="223"/>
      <c r="O8" s="223"/>
      <c r="P8" s="224"/>
      <c r="Q8" s="381" t="s">
        <v>1155</v>
      </c>
      <c r="R8" s="381"/>
    </row>
    <row r="9" spans="1:19">
      <c r="A9" s="505" t="s">
        <v>1</v>
      </c>
      <c r="B9" s="483" t="s">
        <v>52</v>
      </c>
      <c r="C9" s="473" t="s">
        <v>1434</v>
      </c>
      <c r="D9" s="473" t="s">
        <v>22</v>
      </c>
      <c r="E9" s="504" t="s">
        <v>42</v>
      </c>
      <c r="F9" s="504" t="s">
        <v>43</v>
      </c>
      <c r="G9" s="504" t="s">
        <v>13</v>
      </c>
      <c r="H9" s="504" t="s">
        <v>14</v>
      </c>
      <c r="I9" s="504" t="s">
        <v>44</v>
      </c>
      <c r="J9" s="504" t="s">
        <v>45</v>
      </c>
      <c r="K9" s="504" t="s">
        <v>46</v>
      </c>
      <c r="L9" s="504" t="s">
        <v>47</v>
      </c>
      <c r="M9" s="504" t="s">
        <v>48</v>
      </c>
      <c r="N9" s="504" t="s">
        <v>15</v>
      </c>
      <c r="O9" s="504" t="s">
        <v>1154</v>
      </c>
      <c r="P9" s="504" t="s">
        <v>49</v>
      </c>
      <c r="Q9" s="504" t="s">
        <v>114</v>
      </c>
      <c r="R9" s="473" t="s">
        <v>32</v>
      </c>
    </row>
    <row r="10" spans="1:19" ht="103.5" customHeight="1">
      <c r="A10" s="505"/>
      <c r="B10" s="485"/>
      <c r="C10" s="473"/>
      <c r="D10" s="473"/>
      <c r="E10" s="504"/>
      <c r="F10" s="504"/>
      <c r="G10" s="504"/>
      <c r="H10" s="504"/>
      <c r="I10" s="504"/>
      <c r="J10" s="504"/>
      <c r="K10" s="504"/>
      <c r="L10" s="504"/>
      <c r="M10" s="504"/>
      <c r="N10" s="504"/>
      <c r="O10" s="504"/>
      <c r="P10" s="504"/>
      <c r="Q10" s="504"/>
      <c r="R10" s="473"/>
    </row>
    <row r="11" spans="1:19" ht="31.5">
      <c r="A11" s="225" t="s">
        <v>3</v>
      </c>
      <c r="B11" s="380" t="s">
        <v>4</v>
      </c>
      <c r="C11" s="380">
        <v>1</v>
      </c>
      <c r="D11" s="380" t="s">
        <v>1428</v>
      </c>
      <c r="E11" s="380">
        <v>3</v>
      </c>
      <c r="F11" s="380">
        <v>4</v>
      </c>
      <c r="G11" s="380">
        <v>5</v>
      </c>
      <c r="H11" s="380">
        <v>6</v>
      </c>
      <c r="I11" s="380">
        <v>7</v>
      </c>
      <c r="J11" s="380">
        <v>8</v>
      </c>
      <c r="K11" s="380">
        <v>9</v>
      </c>
      <c r="L11" s="380">
        <v>10</v>
      </c>
      <c r="M11" s="380">
        <v>11</v>
      </c>
      <c r="N11" s="380">
        <v>12</v>
      </c>
      <c r="O11" s="380">
        <v>15</v>
      </c>
      <c r="P11" s="380">
        <v>16</v>
      </c>
      <c r="Q11" s="380">
        <v>17</v>
      </c>
      <c r="R11" s="380" t="s">
        <v>58</v>
      </c>
    </row>
    <row r="12" spans="1:19" ht="24" customHeight="1">
      <c r="A12" s="226"/>
      <c r="B12" s="89" t="s">
        <v>0</v>
      </c>
      <c r="C12" s="226">
        <f>SUM(C13:C92)</f>
        <v>2931711.7644649995</v>
      </c>
      <c r="D12" s="226">
        <f t="shared" ref="D12:Q12" si="1">SUM(D13:D92)</f>
        <v>2713620.649604999</v>
      </c>
      <c r="E12" s="226">
        <f t="shared" si="1"/>
        <v>629961.20938999986</v>
      </c>
      <c r="F12" s="226">
        <f t="shared" si="1"/>
        <v>24818.831184000002</v>
      </c>
      <c r="G12" s="226">
        <f t="shared" si="1"/>
        <v>50486.335691999993</v>
      </c>
      <c r="H12" s="226">
        <f t="shared" si="1"/>
        <v>20896</v>
      </c>
      <c r="I12" s="226">
        <f t="shared" si="1"/>
        <v>867656.958079</v>
      </c>
      <c r="J12" s="226">
        <f t="shared" si="1"/>
        <v>67618.623550999997</v>
      </c>
      <c r="K12" s="226">
        <f t="shared" si="1"/>
        <v>17014.239000000001</v>
      </c>
      <c r="L12" s="226">
        <f t="shared" si="1"/>
        <v>24976.649300000001</v>
      </c>
      <c r="M12" s="226">
        <f t="shared" si="1"/>
        <v>50083.430648999994</v>
      </c>
      <c r="N12" s="226">
        <f t="shared" si="1"/>
        <v>347325.22934000002</v>
      </c>
      <c r="O12" s="226">
        <f t="shared" si="1"/>
        <v>455265.61623200006</v>
      </c>
      <c r="P12" s="226">
        <f t="shared" si="1"/>
        <v>128924.89391099999</v>
      </c>
      <c r="Q12" s="226">
        <f t="shared" si="1"/>
        <v>28592.633276999994</v>
      </c>
      <c r="R12" s="226">
        <f>+D12/C12*100</f>
        <v>92.560963273966351</v>
      </c>
      <c r="S12" s="223">
        <f>+C12-'57_NĐ31'!C11</f>
        <v>0</v>
      </c>
    </row>
    <row r="13" spans="1:19" ht="24" customHeight="1">
      <c r="A13" s="266">
        <v>1</v>
      </c>
      <c r="B13" s="228" t="s">
        <v>1070</v>
      </c>
      <c r="C13" s="229">
        <v>15661.589295</v>
      </c>
      <c r="D13" s="227">
        <f>SUM(E13:Q13)</f>
        <v>13773.810066</v>
      </c>
      <c r="E13" s="229">
        <v>7</v>
      </c>
      <c r="F13" s="229">
        <v>0</v>
      </c>
      <c r="G13" s="229">
        <v>28</v>
      </c>
      <c r="H13" s="229">
        <v>0</v>
      </c>
      <c r="I13" s="229">
        <v>0</v>
      </c>
      <c r="J13" s="229">
        <v>0</v>
      </c>
      <c r="K13" s="229">
        <v>0</v>
      </c>
      <c r="L13" s="229">
        <v>0</v>
      </c>
      <c r="M13" s="229">
        <v>0</v>
      </c>
      <c r="N13" s="229">
        <v>0</v>
      </c>
      <c r="O13" s="229">
        <v>13738.810066</v>
      </c>
      <c r="P13" s="229">
        <v>0</v>
      </c>
      <c r="Q13" s="229">
        <v>0</v>
      </c>
      <c r="R13" s="227">
        <f t="shared" ref="R13:R87" si="2">+D13/C13*100</f>
        <v>87.946438937696584</v>
      </c>
      <c r="S13" s="223">
        <f>+C13-'57_NĐ31'!C12</f>
        <v>0</v>
      </c>
    </row>
    <row r="14" spans="1:19" ht="24" customHeight="1">
      <c r="A14" s="266">
        <v>2</v>
      </c>
      <c r="B14" s="228" t="s">
        <v>1071</v>
      </c>
      <c r="C14" s="229">
        <v>25249.592000000001</v>
      </c>
      <c r="D14" s="227">
        <f t="shared" ref="D14:D87" si="3">SUM(E14:Q14)</f>
        <v>25187.002</v>
      </c>
      <c r="E14" s="229">
        <v>0</v>
      </c>
      <c r="F14" s="229">
        <v>0</v>
      </c>
      <c r="G14" s="229">
        <v>34</v>
      </c>
      <c r="H14" s="229">
        <v>0</v>
      </c>
      <c r="I14" s="229">
        <v>0</v>
      </c>
      <c r="J14" s="229">
        <v>0</v>
      </c>
      <c r="K14" s="229">
        <v>0</v>
      </c>
      <c r="L14" s="229">
        <v>0</v>
      </c>
      <c r="M14" s="229">
        <v>2000</v>
      </c>
      <c r="N14" s="229">
        <v>704.75599999999997</v>
      </c>
      <c r="O14" s="229">
        <v>22448.245999999999</v>
      </c>
      <c r="P14" s="229">
        <v>0</v>
      </c>
      <c r="Q14" s="229">
        <v>0</v>
      </c>
      <c r="R14" s="227">
        <f t="shared" si="2"/>
        <v>99.752114806449143</v>
      </c>
      <c r="S14" s="223">
        <f>+C14-'57_NĐ31'!C13</f>
        <v>0</v>
      </c>
    </row>
    <row r="15" spans="1:19" ht="37.5" customHeight="1">
      <c r="A15" s="266">
        <v>3</v>
      </c>
      <c r="B15" s="228" t="s">
        <v>1414</v>
      </c>
      <c r="C15" s="229">
        <f>+'57_NĐ31'!C14</f>
        <v>201356.28813</v>
      </c>
      <c r="D15" s="227">
        <f t="shared" si="3"/>
        <v>181315.675189</v>
      </c>
      <c r="E15" s="229">
        <v>7</v>
      </c>
      <c r="F15" s="229">
        <v>948.67460000000005</v>
      </c>
      <c r="G15" s="229">
        <v>43</v>
      </c>
      <c r="H15" s="229">
        <v>0</v>
      </c>
      <c r="I15" s="229">
        <v>0</v>
      </c>
      <c r="J15" s="229">
        <v>0</v>
      </c>
      <c r="K15" s="229">
        <v>0</v>
      </c>
      <c r="L15" s="229">
        <v>0</v>
      </c>
      <c r="M15" s="229">
        <v>496</v>
      </c>
      <c r="N15" s="229">
        <f>70548.747498+12818.310181</f>
        <v>83367.05767899999</v>
      </c>
      <c r="O15" s="229">
        <f>109272.253091-12818.310181</f>
        <v>96453.942910000012</v>
      </c>
      <c r="P15" s="229">
        <v>0</v>
      </c>
      <c r="Q15" s="229">
        <v>0</v>
      </c>
      <c r="R15" s="227">
        <f t="shared" si="2"/>
        <v>90.04718793382736</v>
      </c>
      <c r="S15" s="230">
        <f>+C15-'57_NĐ31'!C14</f>
        <v>0</v>
      </c>
    </row>
    <row r="16" spans="1:19" ht="38.25" customHeight="1">
      <c r="A16" s="266">
        <v>4</v>
      </c>
      <c r="B16" s="228" t="s">
        <v>1388</v>
      </c>
      <c r="C16" s="229">
        <f>+'57_NĐ31'!C15</f>
        <v>146673.304684</v>
      </c>
      <c r="D16" s="227">
        <f t="shared" si="3"/>
        <v>128097.72433099999</v>
      </c>
      <c r="E16" s="229">
        <v>23043.300581</v>
      </c>
      <c r="F16" s="229">
        <v>0</v>
      </c>
      <c r="G16" s="229">
        <v>31</v>
      </c>
      <c r="H16" s="229">
        <v>0</v>
      </c>
      <c r="I16" s="229">
        <v>0</v>
      </c>
      <c r="J16" s="229">
        <v>0</v>
      </c>
      <c r="K16" s="229">
        <v>0</v>
      </c>
      <c r="L16" s="229">
        <v>0</v>
      </c>
      <c r="M16" s="229">
        <v>0</v>
      </c>
      <c r="N16" s="229">
        <v>0</v>
      </c>
      <c r="O16" s="229">
        <f>10006.803987-556.616418</f>
        <v>9450.1875689999997</v>
      </c>
      <c r="P16" s="229">
        <f>93817.619763</f>
        <v>93817.619762999995</v>
      </c>
      <c r="Q16" s="229">
        <v>1755.6164180000001</v>
      </c>
      <c r="R16" s="227">
        <f t="shared" si="2"/>
        <v>87.335404767063693</v>
      </c>
      <c r="S16" s="223">
        <f>+C16-'57_NĐ31'!C15</f>
        <v>0</v>
      </c>
    </row>
    <row r="17" spans="1:19" ht="31.5">
      <c r="A17" s="266">
        <v>5</v>
      </c>
      <c r="B17" s="288" t="s">
        <v>1389</v>
      </c>
      <c r="C17" s="229">
        <v>11363.598669999999</v>
      </c>
      <c r="D17" s="227">
        <f t="shared" si="3"/>
        <v>10994.800299999999</v>
      </c>
      <c r="E17" s="229">
        <v>210.6</v>
      </c>
      <c r="F17" s="229">
        <v>30</v>
      </c>
      <c r="G17" s="229">
        <v>0</v>
      </c>
      <c r="H17" s="229">
        <v>0</v>
      </c>
      <c r="I17" s="229">
        <v>0</v>
      </c>
      <c r="J17" s="229">
        <v>0</v>
      </c>
      <c r="K17" s="229">
        <v>0</v>
      </c>
      <c r="L17" s="229">
        <v>0</v>
      </c>
      <c r="M17" s="229">
        <v>642.15599999999995</v>
      </c>
      <c r="N17" s="229">
        <v>3727.0962880000002</v>
      </c>
      <c r="O17" s="229">
        <v>6384.9480119999998</v>
      </c>
      <c r="P17" s="229">
        <v>0</v>
      </c>
      <c r="Q17" s="229">
        <v>0</v>
      </c>
      <c r="R17" s="227">
        <f t="shared" si="2"/>
        <v>96.754563578757569</v>
      </c>
      <c r="S17" s="223">
        <f>+C17-'57_NĐ31'!C16</f>
        <v>0</v>
      </c>
    </row>
    <row r="18" spans="1:19" ht="25.5" customHeight="1">
      <c r="A18" s="266">
        <v>6</v>
      </c>
      <c r="B18" s="288" t="s">
        <v>1072</v>
      </c>
      <c r="C18" s="229">
        <v>8921.0370000000003</v>
      </c>
      <c r="D18" s="227">
        <f t="shared" si="3"/>
        <v>8635.82</v>
      </c>
      <c r="E18" s="229">
        <v>47.8</v>
      </c>
      <c r="F18" s="229">
        <v>0</v>
      </c>
      <c r="G18" s="229">
        <v>31</v>
      </c>
      <c r="H18" s="229">
        <v>0</v>
      </c>
      <c r="I18" s="229">
        <v>0</v>
      </c>
      <c r="J18" s="229">
        <v>0</v>
      </c>
      <c r="K18" s="229">
        <v>0</v>
      </c>
      <c r="L18" s="229">
        <v>0</v>
      </c>
      <c r="M18" s="229">
        <v>0</v>
      </c>
      <c r="N18" s="229">
        <v>2169.7829999999999</v>
      </c>
      <c r="O18" s="229">
        <v>6387.2370000000001</v>
      </c>
      <c r="P18" s="229">
        <v>0</v>
      </c>
      <c r="Q18" s="229">
        <v>0</v>
      </c>
      <c r="R18" s="227">
        <f t="shared" si="2"/>
        <v>96.802871684087847</v>
      </c>
      <c r="S18" s="223">
        <f>+C18-'57_NĐ31'!C17</f>
        <v>0</v>
      </c>
    </row>
    <row r="19" spans="1:19" ht="31.5">
      <c r="A19" s="266">
        <v>7</v>
      </c>
      <c r="B19" s="228" t="s">
        <v>184</v>
      </c>
      <c r="C19" s="229">
        <v>76073.928339000006</v>
      </c>
      <c r="D19" s="227">
        <f t="shared" si="3"/>
        <v>48971.364552999999</v>
      </c>
      <c r="E19" s="229">
        <v>29.65</v>
      </c>
      <c r="F19" s="229">
        <v>0</v>
      </c>
      <c r="G19" s="229">
        <v>35</v>
      </c>
      <c r="H19" s="229">
        <v>0</v>
      </c>
      <c r="I19" s="229">
        <v>0</v>
      </c>
      <c r="J19" s="229">
        <v>0</v>
      </c>
      <c r="K19" s="229">
        <v>0</v>
      </c>
      <c r="L19" s="229">
        <v>0</v>
      </c>
      <c r="M19" s="229">
        <v>18724.436300000001</v>
      </c>
      <c r="N19" s="229">
        <v>21108.809669999999</v>
      </c>
      <c r="O19" s="229">
        <v>9073.4685829999999</v>
      </c>
      <c r="P19" s="229">
        <v>0</v>
      </c>
      <c r="Q19" s="229">
        <v>0</v>
      </c>
      <c r="R19" s="227">
        <f t="shared" si="2"/>
        <v>64.373387338135373</v>
      </c>
      <c r="S19" s="223">
        <f>+C19-'57_NĐ31'!C18</f>
        <v>0</v>
      </c>
    </row>
    <row r="20" spans="1:19">
      <c r="A20" s="266">
        <v>8</v>
      </c>
      <c r="B20" s="228" t="s">
        <v>1385</v>
      </c>
      <c r="C20" s="229">
        <f>+'57_NĐ31'!C19</f>
        <v>549946.03736800002</v>
      </c>
      <c r="D20" s="227">
        <f t="shared" si="3"/>
        <v>504309.691552</v>
      </c>
      <c r="E20" s="229">
        <v>493</v>
      </c>
      <c r="F20" s="229">
        <v>0</v>
      </c>
      <c r="G20" s="229">
        <v>37</v>
      </c>
      <c r="H20" s="229">
        <v>0</v>
      </c>
      <c r="I20" s="229">
        <v>487663.39205899998</v>
      </c>
      <c r="J20" s="229">
        <v>0</v>
      </c>
      <c r="K20" s="229">
        <v>0</v>
      </c>
      <c r="L20" s="229">
        <v>0</v>
      </c>
      <c r="M20" s="229">
        <v>5854.0541709999998</v>
      </c>
      <c r="N20" s="229">
        <v>0</v>
      </c>
      <c r="O20" s="229">
        <v>10262.245322000001</v>
      </c>
      <c r="P20" s="229">
        <v>0</v>
      </c>
      <c r="Q20" s="229">
        <v>0</v>
      </c>
      <c r="R20" s="227">
        <f t="shared" si="2"/>
        <v>91.701668397428207</v>
      </c>
      <c r="S20" s="223">
        <f>+C20-'57_NĐ31'!C19</f>
        <v>0</v>
      </c>
    </row>
    <row r="21" spans="1:19">
      <c r="A21" s="266">
        <v>9</v>
      </c>
      <c r="B21" s="228" t="s">
        <v>1073</v>
      </c>
      <c r="C21" s="229">
        <v>13202.941999999999</v>
      </c>
      <c r="D21" s="227">
        <f t="shared" si="3"/>
        <v>13059.338500000002</v>
      </c>
      <c r="E21" s="229">
        <v>1551.9860000000001</v>
      </c>
      <c r="F21" s="229">
        <v>193.69550000000001</v>
      </c>
      <c r="G21" s="229">
        <v>0</v>
      </c>
      <c r="H21" s="229">
        <v>0</v>
      </c>
      <c r="I21" s="229">
        <v>0</v>
      </c>
      <c r="J21" s="229">
        <v>420</v>
      </c>
      <c r="K21" s="229">
        <v>0</v>
      </c>
      <c r="L21" s="229">
        <v>0</v>
      </c>
      <c r="M21" s="229">
        <v>0</v>
      </c>
      <c r="N21" s="229">
        <v>2043.923</v>
      </c>
      <c r="O21" s="229">
        <v>8849.7340000000004</v>
      </c>
      <c r="P21" s="229">
        <v>0</v>
      </c>
      <c r="Q21" s="229">
        <v>0</v>
      </c>
      <c r="R21" s="227">
        <f t="shared" si="2"/>
        <v>98.912337113955388</v>
      </c>
      <c r="S21" s="223">
        <f>+C21-'57_NĐ31'!C20</f>
        <v>0</v>
      </c>
    </row>
    <row r="22" spans="1:19">
      <c r="A22" s="266">
        <v>10</v>
      </c>
      <c r="B22" s="228" t="s">
        <v>1074</v>
      </c>
      <c r="C22" s="229">
        <v>28391.949000000001</v>
      </c>
      <c r="D22" s="227">
        <f t="shared" si="3"/>
        <v>26015.182000000001</v>
      </c>
      <c r="E22" s="229">
        <v>0</v>
      </c>
      <c r="F22" s="229">
        <v>0</v>
      </c>
      <c r="G22" s="229">
        <v>37</v>
      </c>
      <c r="H22" s="229">
        <v>0</v>
      </c>
      <c r="I22" s="229">
        <v>0</v>
      </c>
      <c r="J22" s="229">
        <v>115</v>
      </c>
      <c r="K22" s="229">
        <v>0</v>
      </c>
      <c r="L22" s="229">
        <v>0</v>
      </c>
      <c r="M22" s="229">
        <v>0</v>
      </c>
      <c r="N22" s="229">
        <v>14591.862999999999</v>
      </c>
      <c r="O22" s="229">
        <v>11271.319</v>
      </c>
      <c r="P22" s="229">
        <v>0</v>
      </c>
      <c r="Q22" s="229">
        <v>0</v>
      </c>
      <c r="R22" s="227">
        <f t="shared" si="2"/>
        <v>91.628728975245764</v>
      </c>
      <c r="S22" s="223">
        <f>+C22-'57_NĐ31'!C21</f>
        <v>0</v>
      </c>
    </row>
    <row r="23" spans="1:19">
      <c r="A23" s="266">
        <v>11</v>
      </c>
      <c r="B23" s="228" t="s">
        <v>1151</v>
      </c>
      <c r="C23" s="229">
        <v>489760.994504</v>
      </c>
      <c r="D23" s="227">
        <f t="shared" si="3"/>
        <v>474564.24918999994</v>
      </c>
      <c r="E23" s="229">
        <f>467130.287556+418.646072</f>
        <v>467548.93362799997</v>
      </c>
      <c r="F23" s="229">
        <v>0</v>
      </c>
      <c r="G23" s="229">
        <v>31</v>
      </c>
      <c r="H23" s="229">
        <v>0</v>
      </c>
      <c r="I23" s="229">
        <v>0</v>
      </c>
      <c r="J23" s="229">
        <v>0</v>
      </c>
      <c r="K23" s="229">
        <v>0</v>
      </c>
      <c r="L23" s="229">
        <v>0</v>
      </c>
      <c r="M23" s="229">
        <v>0</v>
      </c>
      <c r="N23" s="229">
        <v>0</v>
      </c>
      <c r="O23" s="229">
        <f>7402.961634-418.646072</f>
        <v>6984.3155619999998</v>
      </c>
      <c r="P23" s="229">
        <v>0</v>
      </c>
      <c r="Q23" s="229">
        <v>0</v>
      </c>
      <c r="R23" s="227">
        <f t="shared" si="2"/>
        <v>96.897109920035504</v>
      </c>
      <c r="S23" s="223">
        <f>+C23-'57_NĐ31'!C22</f>
        <v>0</v>
      </c>
    </row>
    <row r="24" spans="1:19">
      <c r="A24" s="266">
        <v>12</v>
      </c>
      <c r="B24" s="228" t="s">
        <v>182</v>
      </c>
      <c r="C24" s="229">
        <v>35451.427195999997</v>
      </c>
      <c r="D24" s="227">
        <f t="shared" si="3"/>
        <v>31177.859401000002</v>
      </c>
      <c r="E24" s="229">
        <f>5784.790345-217.4294</f>
        <v>5567.3609450000004</v>
      </c>
      <c r="F24" s="229">
        <v>0</v>
      </c>
      <c r="G24" s="229">
        <v>31.616800000000001</v>
      </c>
      <c r="H24" s="229">
        <v>0</v>
      </c>
      <c r="I24" s="229">
        <v>0</v>
      </c>
      <c r="J24" s="229">
        <v>0</v>
      </c>
      <c r="K24" s="229">
        <v>0</v>
      </c>
      <c r="L24" s="229">
        <v>0</v>
      </c>
      <c r="M24" s="229">
        <v>0</v>
      </c>
      <c r="N24" s="229">
        <v>893.03499999999997</v>
      </c>
      <c r="O24" s="229">
        <v>24685.846656000002</v>
      </c>
      <c r="P24" s="229">
        <v>0</v>
      </c>
      <c r="Q24" s="229">
        <v>0</v>
      </c>
      <c r="R24" s="227">
        <f t="shared" si="2"/>
        <v>87.945287022232534</v>
      </c>
      <c r="S24" s="223">
        <f>+C24-'57_NĐ31'!C23</f>
        <v>0</v>
      </c>
    </row>
    <row r="25" spans="1:19" ht="31.5">
      <c r="A25" s="266">
        <v>13</v>
      </c>
      <c r="B25" s="228" t="s">
        <v>179</v>
      </c>
      <c r="C25" s="229">
        <v>70012.466354999997</v>
      </c>
      <c r="D25" s="227">
        <f t="shared" si="3"/>
        <v>28653.601500000004</v>
      </c>
      <c r="E25" s="229">
        <v>44.398000000000003</v>
      </c>
      <c r="F25" s="229">
        <v>22877.507600000001</v>
      </c>
      <c r="G25" s="229">
        <v>24.6006</v>
      </c>
      <c r="H25" s="229">
        <v>0</v>
      </c>
      <c r="I25" s="229">
        <v>0</v>
      </c>
      <c r="J25" s="229">
        <v>67</v>
      </c>
      <c r="K25" s="229">
        <v>0</v>
      </c>
      <c r="L25" s="229">
        <v>0</v>
      </c>
      <c r="M25" s="229">
        <v>0</v>
      </c>
      <c r="N25" s="229">
        <v>560.7953</v>
      </c>
      <c r="O25" s="229">
        <v>5079.3</v>
      </c>
      <c r="P25" s="229">
        <v>0</v>
      </c>
      <c r="Q25" s="229">
        <v>0</v>
      </c>
      <c r="R25" s="227">
        <f t="shared" si="2"/>
        <v>40.926427808886473</v>
      </c>
      <c r="S25" s="223">
        <f>+C25-'57_NĐ31'!C24</f>
        <v>0</v>
      </c>
    </row>
    <row r="26" spans="1:19">
      <c r="A26" s="266">
        <v>14</v>
      </c>
      <c r="B26" s="228" t="s">
        <v>175</v>
      </c>
      <c r="C26" s="229">
        <v>39411.186070999996</v>
      </c>
      <c r="D26" s="227">
        <f t="shared" si="3"/>
        <v>37118.4205</v>
      </c>
      <c r="E26" s="229">
        <v>64.8</v>
      </c>
      <c r="F26" s="229">
        <v>0</v>
      </c>
      <c r="G26" s="229">
        <v>36</v>
      </c>
      <c r="H26" s="229">
        <v>0</v>
      </c>
      <c r="I26" s="229">
        <v>0</v>
      </c>
      <c r="J26" s="229">
        <v>675</v>
      </c>
      <c r="K26" s="229">
        <v>0</v>
      </c>
      <c r="L26" s="229">
        <v>0</v>
      </c>
      <c r="M26" s="229">
        <v>150</v>
      </c>
      <c r="N26" s="229">
        <v>11144.693499999999</v>
      </c>
      <c r="O26" s="229">
        <v>25047.927</v>
      </c>
      <c r="P26" s="229">
        <v>0</v>
      </c>
      <c r="Q26" s="229">
        <v>0</v>
      </c>
      <c r="R26" s="227">
        <f t="shared" si="2"/>
        <v>94.182449706361197</v>
      </c>
      <c r="S26" s="223">
        <f>+C26-'57_NĐ31'!C25</f>
        <v>0</v>
      </c>
    </row>
    <row r="27" spans="1:19">
      <c r="A27" s="266">
        <v>15</v>
      </c>
      <c r="B27" s="228" t="s">
        <v>1075</v>
      </c>
      <c r="C27" s="229">
        <v>14345.927916000001</v>
      </c>
      <c r="D27" s="227">
        <f t="shared" si="3"/>
        <v>14158.790183000001</v>
      </c>
      <c r="E27" s="229">
        <v>992.13599999999997</v>
      </c>
      <c r="F27" s="229">
        <v>0</v>
      </c>
      <c r="G27" s="229">
        <v>23</v>
      </c>
      <c r="H27" s="229">
        <v>0</v>
      </c>
      <c r="I27" s="229">
        <v>0</v>
      </c>
      <c r="J27" s="229">
        <v>241.02397500000001</v>
      </c>
      <c r="K27" s="229">
        <v>0</v>
      </c>
      <c r="L27" s="229">
        <v>0</v>
      </c>
      <c r="M27" s="229">
        <v>0</v>
      </c>
      <c r="N27" s="229">
        <v>0</v>
      </c>
      <c r="O27" s="229">
        <v>12902.630208</v>
      </c>
      <c r="P27" s="229">
        <v>0</v>
      </c>
      <c r="Q27" s="229">
        <v>0</v>
      </c>
      <c r="R27" s="227">
        <f t="shared" si="2"/>
        <v>98.695534132781432</v>
      </c>
      <c r="S27" s="223">
        <f>+C27-'57_NĐ31'!C26</f>
        <v>0</v>
      </c>
    </row>
    <row r="28" spans="1:19" ht="31.5">
      <c r="A28" s="266">
        <v>16</v>
      </c>
      <c r="B28" s="228" t="s">
        <v>1406</v>
      </c>
      <c r="C28" s="229">
        <v>109023.03316799999</v>
      </c>
      <c r="D28" s="227">
        <f t="shared" si="3"/>
        <v>105912.108532</v>
      </c>
      <c r="E28" s="229">
        <v>13425.3087</v>
      </c>
      <c r="F28" s="229">
        <v>28.632000000000001</v>
      </c>
      <c r="G28" s="229">
        <v>34</v>
      </c>
      <c r="H28" s="229">
        <v>0</v>
      </c>
      <c r="I28" s="229">
        <v>0</v>
      </c>
      <c r="J28" s="229">
        <f>75106.432832-25612.3313</f>
        <v>49494.101532000001</v>
      </c>
      <c r="K28" s="229">
        <v>0</v>
      </c>
      <c r="L28" s="229">
        <f>5464.718+19511.9313</f>
        <v>24976.649300000001</v>
      </c>
      <c r="M28" s="229">
        <v>2943.096</v>
      </c>
      <c r="N28" s="229">
        <v>6100.4</v>
      </c>
      <c r="O28" s="229">
        <v>8856.2999999999993</v>
      </c>
      <c r="P28" s="229">
        <v>53.621000000000002</v>
      </c>
      <c r="Q28" s="229">
        <v>0</v>
      </c>
      <c r="R28" s="227">
        <f t="shared" si="2"/>
        <v>97.146543674669019</v>
      </c>
      <c r="S28" s="223">
        <f>+C28-'57_NĐ31'!C27</f>
        <v>0</v>
      </c>
    </row>
    <row r="29" spans="1:19" ht="23.25" customHeight="1">
      <c r="A29" s="266">
        <v>17</v>
      </c>
      <c r="B29" s="228" t="s">
        <v>178</v>
      </c>
      <c r="C29" s="229">
        <v>10092.682784000001</v>
      </c>
      <c r="D29" s="227">
        <f t="shared" si="3"/>
        <v>9758.1426690000008</v>
      </c>
      <c r="E29" s="229">
        <v>261.73647999999997</v>
      </c>
      <c r="F29" s="229">
        <v>0</v>
      </c>
      <c r="G29" s="229">
        <v>28</v>
      </c>
      <c r="H29" s="229">
        <v>0</v>
      </c>
      <c r="I29" s="229">
        <v>0</v>
      </c>
      <c r="J29" s="229">
        <v>33.957999999999998</v>
      </c>
      <c r="K29" s="229">
        <v>0</v>
      </c>
      <c r="L29" s="229">
        <v>0</v>
      </c>
      <c r="M29" s="229">
        <v>0</v>
      </c>
      <c r="N29" s="229">
        <v>1042.1170119999999</v>
      </c>
      <c r="O29" s="229">
        <v>8392.331177</v>
      </c>
      <c r="P29" s="229">
        <v>0</v>
      </c>
      <c r="Q29" s="229">
        <v>0</v>
      </c>
      <c r="R29" s="227">
        <f t="shared" si="2"/>
        <v>96.685320224961899</v>
      </c>
      <c r="S29" s="223">
        <f>+C29-'57_NĐ31'!C28</f>
        <v>0</v>
      </c>
    </row>
    <row r="30" spans="1:19">
      <c r="A30" s="266">
        <v>18</v>
      </c>
      <c r="B30" s="228" t="s">
        <v>1076</v>
      </c>
      <c r="C30" s="229">
        <v>12449.380999999999</v>
      </c>
      <c r="D30" s="227">
        <f t="shared" si="3"/>
        <v>12101.836599999999</v>
      </c>
      <c r="E30" s="229">
        <v>2253.835</v>
      </c>
      <c r="F30" s="229">
        <v>0</v>
      </c>
      <c r="G30" s="229">
        <v>27</v>
      </c>
      <c r="H30" s="229">
        <v>0</v>
      </c>
      <c r="I30" s="229">
        <v>0</v>
      </c>
      <c r="J30" s="229">
        <v>0</v>
      </c>
      <c r="K30" s="229">
        <v>0</v>
      </c>
      <c r="L30" s="229">
        <v>0</v>
      </c>
      <c r="M30" s="229">
        <v>0</v>
      </c>
      <c r="N30" s="229">
        <v>4674.2979999999998</v>
      </c>
      <c r="O30" s="229">
        <v>5133.2035999999998</v>
      </c>
      <c r="P30" s="229">
        <v>13.5</v>
      </c>
      <c r="Q30" s="229">
        <v>0</v>
      </c>
      <c r="R30" s="227">
        <f t="shared" si="2"/>
        <v>97.208339916659298</v>
      </c>
      <c r="S30" s="223">
        <f>+C30-'57_NĐ31'!C29</f>
        <v>0</v>
      </c>
    </row>
    <row r="31" spans="1:19">
      <c r="A31" s="266">
        <v>19</v>
      </c>
      <c r="B31" s="228" t="s">
        <v>1077</v>
      </c>
      <c r="C31" s="229">
        <v>9946.2360000000008</v>
      </c>
      <c r="D31" s="227">
        <f t="shared" si="3"/>
        <v>9687.5565000000006</v>
      </c>
      <c r="E31" s="229">
        <v>13.5</v>
      </c>
      <c r="F31" s="229">
        <v>0</v>
      </c>
      <c r="G31" s="229">
        <v>24</v>
      </c>
      <c r="H31" s="229">
        <v>0</v>
      </c>
      <c r="I31" s="229">
        <v>0</v>
      </c>
      <c r="J31" s="229">
        <v>0</v>
      </c>
      <c r="K31" s="229">
        <v>0</v>
      </c>
      <c r="L31" s="229">
        <v>0</v>
      </c>
      <c r="M31" s="229">
        <v>0</v>
      </c>
      <c r="N31" s="229">
        <v>0</v>
      </c>
      <c r="O31" s="229">
        <v>9650.0565000000006</v>
      </c>
      <c r="P31" s="229">
        <v>0</v>
      </c>
      <c r="Q31" s="229">
        <v>0</v>
      </c>
      <c r="R31" s="227">
        <f t="shared" si="2"/>
        <v>97.399222178118436</v>
      </c>
      <c r="S31" s="223">
        <f>+C31-'57_NĐ31'!C30</f>
        <v>0</v>
      </c>
    </row>
    <row r="32" spans="1:19">
      <c r="A32" s="266">
        <v>20</v>
      </c>
      <c r="B32" s="228" t="s">
        <v>1078</v>
      </c>
      <c r="C32" s="229">
        <v>15352.4162</v>
      </c>
      <c r="D32" s="227">
        <f t="shared" si="3"/>
        <v>13481.905660999999</v>
      </c>
      <c r="E32" s="229">
        <v>155.21655999999999</v>
      </c>
      <c r="F32" s="229">
        <v>0</v>
      </c>
      <c r="G32" s="229">
        <v>23</v>
      </c>
      <c r="H32" s="229">
        <v>0</v>
      </c>
      <c r="I32" s="229">
        <v>0</v>
      </c>
      <c r="J32" s="229">
        <v>2012.3978440000001</v>
      </c>
      <c r="K32" s="229">
        <v>0</v>
      </c>
      <c r="L32" s="229">
        <v>0</v>
      </c>
      <c r="M32" s="229">
        <v>0</v>
      </c>
      <c r="N32" s="229">
        <v>242.4</v>
      </c>
      <c r="O32" s="229">
        <v>11048.891256999999</v>
      </c>
      <c r="P32" s="229">
        <v>0</v>
      </c>
      <c r="Q32" s="229">
        <v>0</v>
      </c>
      <c r="R32" s="227">
        <f t="shared" si="2"/>
        <v>87.816181409933364</v>
      </c>
      <c r="S32" s="223">
        <f>+C32-'57_NĐ31'!C31</f>
        <v>0</v>
      </c>
    </row>
    <row r="33" spans="1:19">
      <c r="A33" s="266">
        <v>21</v>
      </c>
      <c r="B33" s="228" t="s">
        <v>1079</v>
      </c>
      <c r="C33" s="229">
        <f>+'57_NĐ31'!C32</f>
        <v>6315</v>
      </c>
      <c r="D33" s="227">
        <f t="shared" si="3"/>
        <v>6271.1949999999997</v>
      </c>
      <c r="E33" s="229">
        <v>1630</v>
      </c>
      <c r="F33" s="229">
        <v>340</v>
      </c>
      <c r="G33" s="229">
        <v>0</v>
      </c>
      <c r="H33" s="229">
        <v>0</v>
      </c>
      <c r="I33" s="229">
        <v>0</v>
      </c>
      <c r="J33" s="229">
        <v>0</v>
      </c>
      <c r="K33" s="229">
        <v>0</v>
      </c>
      <c r="L33" s="229">
        <v>0</v>
      </c>
      <c r="M33" s="229">
        <v>0</v>
      </c>
      <c r="N33" s="229">
        <v>35</v>
      </c>
      <c r="O33" s="229">
        <v>4266.1949999999997</v>
      </c>
      <c r="P33" s="229">
        <v>0</v>
      </c>
      <c r="Q33" s="229">
        <v>0</v>
      </c>
      <c r="R33" s="227">
        <f t="shared" si="2"/>
        <v>99.306334125098957</v>
      </c>
      <c r="S33" s="223">
        <f>+C33-'57_NĐ31'!C32</f>
        <v>0</v>
      </c>
    </row>
    <row r="34" spans="1:19" ht="31.5">
      <c r="A34" s="266">
        <v>22</v>
      </c>
      <c r="B34" s="228" t="s">
        <v>1080</v>
      </c>
      <c r="C34" s="229">
        <f>9535.9+23155.2442</f>
        <v>32691.144200000002</v>
      </c>
      <c r="D34" s="227">
        <f t="shared" si="3"/>
        <v>32275.002209000002</v>
      </c>
      <c r="E34" s="229">
        <v>134</v>
      </c>
      <c r="F34" s="229">
        <v>212.36699999999999</v>
      </c>
      <c r="G34" s="229">
        <v>0</v>
      </c>
      <c r="H34" s="229">
        <v>0</v>
      </c>
      <c r="I34" s="229">
        <v>0</v>
      </c>
      <c r="J34" s="229">
        <v>0</v>
      </c>
      <c r="K34" s="229">
        <v>0</v>
      </c>
      <c r="L34" s="229">
        <v>0</v>
      </c>
      <c r="M34" s="229">
        <v>0</v>
      </c>
      <c r="N34" s="229"/>
      <c r="O34" s="229">
        <v>8773.3910090000008</v>
      </c>
      <c r="P34" s="229">
        <f>13191.406403+9963.837797</f>
        <v>23155.244200000001</v>
      </c>
      <c r="Q34" s="229">
        <v>0</v>
      </c>
      <c r="R34" s="227">
        <f t="shared" si="2"/>
        <v>98.727049783103041</v>
      </c>
      <c r="S34" s="223">
        <f>+C34-'57_NĐ31'!C33</f>
        <v>0</v>
      </c>
    </row>
    <row r="35" spans="1:19" ht="31.5">
      <c r="A35" s="266">
        <v>23</v>
      </c>
      <c r="B35" s="228" t="s">
        <v>185</v>
      </c>
      <c r="C35" s="229">
        <v>15150.8244</v>
      </c>
      <c r="D35" s="227">
        <f t="shared" si="3"/>
        <v>13101.103994000001</v>
      </c>
      <c r="E35" s="229">
        <v>135.5</v>
      </c>
      <c r="F35" s="229">
        <v>0</v>
      </c>
      <c r="G35" s="229">
        <v>24</v>
      </c>
      <c r="H35" s="229">
        <v>0</v>
      </c>
      <c r="I35" s="229">
        <v>0</v>
      </c>
      <c r="J35" s="229">
        <v>8137.5421999999999</v>
      </c>
      <c r="K35" s="229">
        <v>0</v>
      </c>
      <c r="L35" s="229">
        <v>0</v>
      </c>
      <c r="M35" s="229">
        <v>100</v>
      </c>
      <c r="N35" s="229">
        <v>0</v>
      </c>
      <c r="O35" s="229">
        <v>4704.0617940000002</v>
      </c>
      <c r="P35" s="229">
        <v>0</v>
      </c>
      <c r="Q35" s="229">
        <v>0</v>
      </c>
      <c r="R35" s="227">
        <f t="shared" si="2"/>
        <v>86.471228549121065</v>
      </c>
      <c r="S35" s="223">
        <f>+C35-'57_NĐ31'!C34</f>
        <v>0</v>
      </c>
    </row>
    <row r="36" spans="1:19" ht="24" customHeight="1">
      <c r="A36" s="266">
        <v>24</v>
      </c>
      <c r="B36" s="228" t="s">
        <v>1081</v>
      </c>
      <c r="C36" s="229">
        <v>4418</v>
      </c>
      <c r="D36" s="227">
        <f t="shared" si="3"/>
        <v>4401.1684999999998</v>
      </c>
      <c r="E36" s="229">
        <v>153.779</v>
      </c>
      <c r="F36" s="229">
        <v>0</v>
      </c>
      <c r="G36" s="229">
        <v>0</v>
      </c>
      <c r="H36" s="229">
        <v>0</v>
      </c>
      <c r="I36" s="229">
        <v>0</v>
      </c>
      <c r="J36" s="229">
        <v>0</v>
      </c>
      <c r="K36" s="229">
        <v>0</v>
      </c>
      <c r="L36" s="229">
        <v>0</v>
      </c>
      <c r="M36" s="229">
        <v>0</v>
      </c>
      <c r="N36" s="229">
        <v>0</v>
      </c>
      <c r="O36" s="229">
        <v>4247.3895000000002</v>
      </c>
      <c r="P36" s="229">
        <v>0</v>
      </c>
      <c r="Q36" s="229">
        <v>0</v>
      </c>
      <c r="R36" s="227">
        <f t="shared" si="2"/>
        <v>99.619024445450421</v>
      </c>
      <c r="S36" s="223">
        <f>+C36-'57_NĐ31'!C35</f>
        <v>0</v>
      </c>
    </row>
    <row r="37" spans="1:19" ht="31.5">
      <c r="A37" s="266">
        <v>25</v>
      </c>
      <c r="B37" s="228" t="s">
        <v>1390</v>
      </c>
      <c r="C37" s="229">
        <v>1287.754799</v>
      </c>
      <c r="D37" s="227">
        <f t="shared" si="3"/>
        <v>1287.754799</v>
      </c>
      <c r="E37" s="229">
        <v>0</v>
      </c>
      <c r="F37" s="229">
        <v>0</v>
      </c>
      <c r="G37" s="229">
        <v>0</v>
      </c>
      <c r="H37" s="229">
        <v>0</v>
      </c>
      <c r="I37" s="229">
        <v>0</v>
      </c>
      <c r="J37" s="229">
        <v>0</v>
      </c>
      <c r="K37" s="229">
        <v>0</v>
      </c>
      <c r="L37" s="229">
        <v>0</v>
      </c>
      <c r="M37" s="229">
        <v>0</v>
      </c>
      <c r="N37" s="229">
        <v>402.10288000000003</v>
      </c>
      <c r="O37" s="229">
        <v>885.65191900000002</v>
      </c>
      <c r="P37" s="229">
        <v>0</v>
      </c>
      <c r="Q37" s="229">
        <v>0</v>
      </c>
      <c r="R37" s="227">
        <f t="shared" si="2"/>
        <v>100</v>
      </c>
      <c r="S37" s="223">
        <f>+C37-'57_NĐ31'!C36</f>
        <v>0</v>
      </c>
    </row>
    <row r="38" spans="1:19">
      <c r="A38" s="266">
        <v>26</v>
      </c>
      <c r="B38" s="228" t="s">
        <v>127</v>
      </c>
      <c r="C38" s="229">
        <v>7470.3613560000003</v>
      </c>
      <c r="D38" s="227">
        <f t="shared" si="3"/>
        <v>7194.2118279999995</v>
      </c>
      <c r="E38" s="229">
        <v>139.234397</v>
      </c>
      <c r="F38" s="229">
        <v>103.1726</v>
      </c>
      <c r="G38" s="229">
        <v>0</v>
      </c>
      <c r="H38" s="229">
        <v>0</v>
      </c>
      <c r="I38" s="229">
        <v>0</v>
      </c>
      <c r="J38" s="229">
        <v>494</v>
      </c>
      <c r="K38" s="229">
        <v>0</v>
      </c>
      <c r="L38" s="229">
        <v>0</v>
      </c>
      <c r="M38" s="229">
        <v>0</v>
      </c>
      <c r="N38" s="229">
        <v>1403.4643060000001</v>
      </c>
      <c r="O38" s="229">
        <v>5054.3405249999996</v>
      </c>
      <c r="P38" s="229">
        <v>0</v>
      </c>
      <c r="Q38" s="229">
        <v>0</v>
      </c>
      <c r="R38" s="227">
        <f t="shared" si="2"/>
        <v>96.303397990537562</v>
      </c>
      <c r="S38" s="223">
        <f>+C38-'57_NĐ31'!C37</f>
        <v>0</v>
      </c>
    </row>
    <row r="39" spans="1:19" ht="31.5">
      <c r="A39" s="266">
        <v>27</v>
      </c>
      <c r="B39" s="228" t="s">
        <v>1391</v>
      </c>
      <c r="C39" s="229">
        <v>2433.9057790000002</v>
      </c>
      <c r="D39" s="227">
        <f t="shared" si="3"/>
        <v>2433.9057789999997</v>
      </c>
      <c r="E39" s="229">
        <v>0</v>
      </c>
      <c r="F39" s="229">
        <v>0</v>
      </c>
      <c r="G39" s="229">
        <v>0</v>
      </c>
      <c r="H39" s="229">
        <v>0</v>
      </c>
      <c r="I39" s="229">
        <v>0</v>
      </c>
      <c r="J39" s="229">
        <v>0</v>
      </c>
      <c r="K39" s="229">
        <v>0</v>
      </c>
      <c r="L39" s="229">
        <v>0</v>
      </c>
      <c r="M39" s="229">
        <v>14</v>
      </c>
      <c r="N39" s="229">
        <v>676.23877900000002</v>
      </c>
      <c r="O39" s="229">
        <v>1743.6669999999999</v>
      </c>
      <c r="P39" s="229">
        <v>0</v>
      </c>
      <c r="Q39" s="229">
        <v>0</v>
      </c>
      <c r="R39" s="227">
        <f t="shared" si="2"/>
        <v>99.999999999999972</v>
      </c>
      <c r="S39" s="223">
        <f>+C39-'57_NĐ31'!C38</f>
        <v>0</v>
      </c>
    </row>
    <row r="40" spans="1:19">
      <c r="A40" s="266">
        <v>28</v>
      </c>
      <c r="B40" s="228" t="s">
        <v>1082</v>
      </c>
      <c r="C40" s="229">
        <v>3048.6149999999998</v>
      </c>
      <c r="D40" s="227">
        <f t="shared" si="3"/>
        <v>3048.6149999999998</v>
      </c>
      <c r="E40" s="229">
        <v>105</v>
      </c>
      <c r="F40" s="229">
        <v>0</v>
      </c>
      <c r="G40" s="229">
        <v>0</v>
      </c>
      <c r="H40" s="229">
        <v>0</v>
      </c>
      <c r="I40" s="229">
        <v>0</v>
      </c>
      <c r="J40" s="229">
        <v>0</v>
      </c>
      <c r="K40" s="229">
        <v>0</v>
      </c>
      <c r="L40" s="229">
        <v>0</v>
      </c>
      <c r="M40" s="229">
        <v>0</v>
      </c>
      <c r="N40" s="229">
        <v>0</v>
      </c>
      <c r="O40" s="229">
        <v>2943.6149999999998</v>
      </c>
      <c r="P40" s="229">
        <v>0</v>
      </c>
      <c r="Q40" s="229">
        <v>0</v>
      </c>
      <c r="R40" s="227">
        <f t="shared" si="2"/>
        <v>100</v>
      </c>
      <c r="S40" s="223">
        <f>+C40-'57_NĐ31'!C39</f>
        <v>0</v>
      </c>
    </row>
    <row r="41" spans="1:19" ht="31.5">
      <c r="A41" s="266">
        <v>29</v>
      </c>
      <c r="B41" s="231" t="s">
        <v>1402</v>
      </c>
      <c r="C41" s="229">
        <f>1134+933.535782</f>
        <v>2067.5357819999999</v>
      </c>
      <c r="D41" s="227">
        <f t="shared" si="3"/>
        <v>2065.9427820000001</v>
      </c>
      <c r="E41" s="229">
        <v>0</v>
      </c>
      <c r="F41" s="229">
        <v>0</v>
      </c>
      <c r="G41" s="229">
        <v>0</v>
      </c>
      <c r="H41" s="229">
        <v>0</v>
      </c>
      <c r="I41" s="229">
        <v>0</v>
      </c>
      <c r="J41" s="229">
        <v>0</v>
      </c>
      <c r="K41" s="229">
        <v>0</v>
      </c>
      <c r="L41" s="229">
        <v>0</v>
      </c>
      <c r="M41" s="229">
        <v>0</v>
      </c>
      <c r="N41" s="229">
        <v>0</v>
      </c>
      <c r="O41" s="229">
        <f>1132.407+933.535782</f>
        <v>2065.9427820000001</v>
      </c>
      <c r="P41" s="229">
        <v>0</v>
      </c>
      <c r="Q41" s="229">
        <v>0</v>
      </c>
      <c r="R41" s="227">
        <f t="shared" si="2"/>
        <v>99.92295175668211</v>
      </c>
      <c r="S41" s="223">
        <f>+C41-'57_NĐ31'!C41</f>
        <v>0</v>
      </c>
    </row>
    <row r="42" spans="1:19" ht="36.75" customHeight="1">
      <c r="A42" s="266">
        <v>30</v>
      </c>
      <c r="B42" s="228" t="s">
        <v>122</v>
      </c>
      <c r="C42" s="229">
        <v>720</v>
      </c>
      <c r="D42" s="227">
        <f>SUM(E42:Q42)</f>
        <v>720</v>
      </c>
      <c r="E42" s="229"/>
      <c r="F42" s="229"/>
      <c r="G42" s="229"/>
      <c r="H42" s="229"/>
      <c r="I42" s="229"/>
      <c r="J42" s="229"/>
      <c r="K42" s="229"/>
      <c r="L42" s="229"/>
      <c r="M42" s="229"/>
      <c r="N42" s="229"/>
      <c r="O42" s="229">
        <v>720</v>
      </c>
      <c r="P42" s="229"/>
      <c r="Q42" s="229"/>
      <c r="R42" s="227">
        <f>+D42/C42*100</f>
        <v>100</v>
      </c>
      <c r="S42" s="223">
        <f>+C42-'57_NĐ31'!C40</f>
        <v>0</v>
      </c>
    </row>
    <row r="43" spans="1:19" ht="31.5">
      <c r="A43" s="266">
        <v>31</v>
      </c>
      <c r="B43" s="228" t="s">
        <v>1375</v>
      </c>
      <c r="C43" s="229">
        <v>37153.824999999997</v>
      </c>
      <c r="D43" s="227">
        <f t="shared" si="3"/>
        <v>36668.370000000003</v>
      </c>
      <c r="E43" s="229">
        <v>36634.370000000003</v>
      </c>
      <c r="F43" s="229">
        <v>0</v>
      </c>
      <c r="G43" s="229">
        <v>34</v>
      </c>
      <c r="H43" s="229">
        <v>0</v>
      </c>
      <c r="I43" s="229">
        <v>0</v>
      </c>
      <c r="J43" s="229">
        <v>0</v>
      </c>
      <c r="K43" s="229">
        <v>0</v>
      </c>
      <c r="L43" s="229">
        <v>0</v>
      </c>
      <c r="M43" s="229">
        <v>0</v>
      </c>
      <c r="N43" s="229">
        <v>0</v>
      </c>
      <c r="O43" s="229">
        <v>0</v>
      </c>
      <c r="P43" s="229">
        <v>0</v>
      </c>
      <c r="Q43" s="229">
        <v>0</v>
      </c>
      <c r="R43" s="227">
        <f t="shared" si="2"/>
        <v>98.693391595616347</v>
      </c>
      <c r="S43" s="223">
        <f>+C43-'57_NĐ31'!C42</f>
        <v>0</v>
      </c>
    </row>
    <row r="44" spans="1:19" ht="33.75" customHeight="1">
      <c r="A44" s="266">
        <v>32</v>
      </c>
      <c r="B44" s="228" t="s">
        <v>1393</v>
      </c>
      <c r="C44" s="229">
        <v>20758.669000000002</v>
      </c>
      <c r="D44" s="227">
        <f t="shared" si="3"/>
        <v>20664.582999999999</v>
      </c>
      <c r="E44" s="229">
        <v>20664.582999999999</v>
      </c>
      <c r="F44" s="229">
        <v>0</v>
      </c>
      <c r="G44" s="229">
        <v>0</v>
      </c>
      <c r="H44" s="229">
        <v>0</v>
      </c>
      <c r="I44" s="229">
        <v>0</v>
      </c>
      <c r="J44" s="229">
        <v>0</v>
      </c>
      <c r="K44" s="229">
        <v>0</v>
      </c>
      <c r="L44" s="229">
        <v>0</v>
      </c>
      <c r="M44" s="229">
        <v>0</v>
      </c>
      <c r="N44" s="229">
        <v>0</v>
      </c>
      <c r="O44" s="229">
        <v>0</v>
      </c>
      <c r="P44" s="229">
        <v>0</v>
      </c>
      <c r="Q44" s="229">
        <v>0</v>
      </c>
      <c r="R44" s="227">
        <f t="shared" si="2"/>
        <v>99.546762848812691</v>
      </c>
      <c r="S44" s="223">
        <f>+C44-'57_NĐ31'!C43</f>
        <v>0</v>
      </c>
    </row>
    <row r="45" spans="1:19" ht="31.5">
      <c r="A45" s="266">
        <v>33</v>
      </c>
      <c r="B45" s="228" t="s">
        <v>1412</v>
      </c>
      <c r="C45" s="229">
        <v>18414.414402999999</v>
      </c>
      <c r="D45" s="227">
        <f t="shared" si="3"/>
        <v>15719.760738000001</v>
      </c>
      <c r="E45" s="229">
        <v>15678.760738000001</v>
      </c>
      <c r="F45" s="229">
        <v>0</v>
      </c>
      <c r="G45" s="229">
        <v>41</v>
      </c>
      <c r="H45" s="229">
        <v>0</v>
      </c>
      <c r="I45" s="229">
        <v>0</v>
      </c>
      <c r="J45" s="229">
        <v>0</v>
      </c>
      <c r="K45" s="229">
        <v>0</v>
      </c>
      <c r="L45" s="229">
        <v>0</v>
      </c>
      <c r="M45" s="229">
        <v>0</v>
      </c>
      <c r="N45" s="229">
        <v>0</v>
      </c>
      <c r="O45" s="229">
        <v>0</v>
      </c>
      <c r="P45" s="229">
        <v>0</v>
      </c>
      <c r="Q45" s="229">
        <v>0</v>
      </c>
      <c r="R45" s="227">
        <f t="shared" si="2"/>
        <v>85.366606800371585</v>
      </c>
      <c r="S45" s="223">
        <f>+C45-'57_NĐ31'!C44</f>
        <v>0</v>
      </c>
    </row>
    <row r="46" spans="1:19" ht="23.25" customHeight="1">
      <c r="A46" s="266">
        <v>34</v>
      </c>
      <c r="B46" s="228" t="s">
        <v>1083</v>
      </c>
      <c r="C46" s="229">
        <v>11921.777122</v>
      </c>
      <c r="D46" s="227">
        <f t="shared" si="3"/>
        <v>11435.8995</v>
      </c>
      <c r="E46" s="229">
        <v>11435.8995</v>
      </c>
      <c r="F46" s="229">
        <v>0</v>
      </c>
      <c r="G46" s="229">
        <v>0</v>
      </c>
      <c r="H46" s="229">
        <v>0</v>
      </c>
      <c r="I46" s="229">
        <v>0</v>
      </c>
      <c r="J46" s="229">
        <v>0</v>
      </c>
      <c r="K46" s="229">
        <v>0</v>
      </c>
      <c r="L46" s="229">
        <v>0</v>
      </c>
      <c r="M46" s="229">
        <v>0</v>
      </c>
      <c r="N46" s="229">
        <v>0</v>
      </c>
      <c r="O46" s="229">
        <v>0</v>
      </c>
      <c r="P46" s="229">
        <v>0</v>
      </c>
      <c r="Q46" s="229">
        <v>0</v>
      </c>
      <c r="R46" s="227">
        <f t="shared" si="2"/>
        <v>95.924453065781776</v>
      </c>
      <c r="S46" s="223">
        <f>+C46-'57_NĐ31'!C45</f>
        <v>0</v>
      </c>
    </row>
    <row r="47" spans="1:19" ht="27" customHeight="1">
      <c r="A47" s="266">
        <v>35</v>
      </c>
      <c r="B47" s="228" t="s">
        <v>1394</v>
      </c>
      <c r="C47" s="229">
        <v>22010.057786000001</v>
      </c>
      <c r="D47" s="227">
        <f t="shared" si="3"/>
        <v>9566.8692769999998</v>
      </c>
      <c r="E47" s="229">
        <v>9538.993477</v>
      </c>
      <c r="F47" s="229">
        <v>0</v>
      </c>
      <c r="G47" s="229">
        <v>27.875800000000002</v>
      </c>
      <c r="H47" s="229">
        <v>0</v>
      </c>
      <c r="I47" s="229">
        <v>0</v>
      </c>
      <c r="J47" s="229">
        <v>0</v>
      </c>
      <c r="K47" s="229">
        <v>0</v>
      </c>
      <c r="L47" s="229">
        <v>0</v>
      </c>
      <c r="M47" s="229">
        <v>0</v>
      </c>
      <c r="N47" s="229">
        <v>0</v>
      </c>
      <c r="O47" s="229">
        <v>0</v>
      </c>
      <c r="P47" s="229">
        <v>0</v>
      </c>
      <c r="Q47" s="229">
        <v>0</v>
      </c>
      <c r="R47" s="227">
        <f t="shared" si="2"/>
        <v>43.465898045416424</v>
      </c>
      <c r="S47" s="223">
        <f>+C47-'57_NĐ31'!C46</f>
        <v>0</v>
      </c>
    </row>
    <row r="48" spans="1:19" ht="47.25">
      <c r="A48" s="266">
        <v>36</v>
      </c>
      <c r="B48" s="228" t="s">
        <v>1395</v>
      </c>
      <c r="C48" s="229">
        <v>2515.1023839999998</v>
      </c>
      <c r="D48" s="227">
        <f t="shared" si="3"/>
        <v>2515.1023839999998</v>
      </c>
      <c r="E48" s="229">
        <v>2515.1023839999998</v>
      </c>
      <c r="F48" s="229">
        <v>0</v>
      </c>
      <c r="G48" s="229">
        <v>0</v>
      </c>
      <c r="H48" s="229">
        <v>0</v>
      </c>
      <c r="I48" s="229">
        <v>0</v>
      </c>
      <c r="J48" s="229">
        <v>0</v>
      </c>
      <c r="K48" s="229">
        <v>0</v>
      </c>
      <c r="L48" s="229">
        <v>0</v>
      </c>
      <c r="M48" s="229">
        <v>0</v>
      </c>
      <c r="N48" s="229">
        <v>0</v>
      </c>
      <c r="O48" s="229">
        <v>0</v>
      </c>
      <c r="P48" s="229">
        <v>0</v>
      </c>
      <c r="Q48" s="229">
        <v>0</v>
      </c>
      <c r="R48" s="227">
        <f t="shared" si="2"/>
        <v>100</v>
      </c>
      <c r="S48" s="223">
        <f>+C48-'57_NĐ31'!C47</f>
        <v>0</v>
      </c>
    </row>
    <row r="49" spans="1:19" ht="47.25">
      <c r="A49" s="266">
        <v>37</v>
      </c>
      <c r="B49" s="228" t="s">
        <v>1396</v>
      </c>
      <c r="C49" s="229">
        <v>22641.356</v>
      </c>
      <c r="D49" s="227">
        <f t="shared" si="3"/>
        <v>22641.356</v>
      </c>
      <c r="E49" s="229">
        <v>0</v>
      </c>
      <c r="F49" s="229">
        <v>0</v>
      </c>
      <c r="G49" s="229">
        <v>0</v>
      </c>
      <c r="H49" s="229">
        <v>0</v>
      </c>
      <c r="I49" s="229">
        <v>0</v>
      </c>
      <c r="J49" s="229">
        <v>20</v>
      </c>
      <c r="K49" s="229">
        <v>0</v>
      </c>
      <c r="L49" s="229">
        <v>0</v>
      </c>
      <c r="M49" s="229">
        <v>0</v>
      </c>
      <c r="N49" s="229">
        <v>18077.356</v>
      </c>
      <c r="O49" s="229">
        <v>4544</v>
      </c>
      <c r="P49" s="229">
        <v>0</v>
      </c>
      <c r="Q49" s="229">
        <v>0</v>
      </c>
      <c r="R49" s="227">
        <f t="shared" si="2"/>
        <v>100</v>
      </c>
      <c r="S49" s="223">
        <f>+C49-'57_NĐ31'!C48</f>
        <v>0</v>
      </c>
    </row>
    <row r="50" spans="1:19" ht="31.5">
      <c r="A50" s="266">
        <v>38</v>
      </c>
      <c r="B50" s="228" t="s">
        <v>1376</v>
      </c>
      <c r="C50" s="229">
        <v>18524.599999999999</v>
      </c>
      <c r="D50" s="227">
        <f t="shared" si="3"/>
        <v>18354.839</v>
      </c>
      <c r="E50" s="229">
        <v>0</v>
      </c>
      <c r="F50" s="229">
        <v>0</v>
      </c>
      <c r="G50" s="229">
        <v>24</v>
      </c>
      <c r="H50" s="229">
        <v>0</v>
      </c>
      <c r="I50" s="229">
        <v>0</v>
      </c>
      <c r="J50" s="229">
        <v>1316.6</v>
      </c>
      <c r="K50" s="229">
        <f>18354.839-24-1316.6</f>
        <v>17014.239000000001</v>
      </c>
      <c r="L50" s="229">
        <v>0</v>
      </c>
      <c r="M50" s="229">
        <v>0</v>
      </c>
      <c r="N50" s="229">
        <v>0</v>
      </c>
      <c r="O50" s="229">
        <v>0</v>
      </c>
      <c r="P50" s="229">
        <v>0</v>
      </c>
      <c r="Q50" s="229">
        <v>0</v>
      </c>
      <c r="R50" s="227">
        <f t="shared" si="2"/>
        <v>99.083591548535466</v>
      </c>
      <c r="S50" s="223">
        <f>+C50-'57_NĐ31'!C49</f>
        <v>0</v>
      </c>
    </row>
    <row r="51" spans="1:19" ht="41.25" customHeight="1">
      <c r="A51" s="266">
        <v>39</v>
      </c>
      <c r="B51" s="228" t="s">
        <v>121</v>
      </c>
      <c r="C51" s="229">
        <v>76016</v>
      </c>
      <c r="D51" s="227">
        <f>SUM(E51:Q51)</f>
        <v>68298.461511999994</v>
      </c>
      <c r="E51" s="229"/>
      <c r="F51" s="229"/>
      <c r="G51" s="229"/>
      <c r="H51" s="229"/>
      <c r="I51" s="229"/>
      <c r="J51" s="229"/>
      <c r="K51" s="229"/>
      <c r="L51" s="229"/>
      <c r="M51" s="229"/>
      <c r="N51" s="229">
        <v>68298.461511999994</v>
      </c>
      <c r="O51" s="229"/>
      <c r="P51" s="229"/>
      <c r="Q51" s="229"/>
      <c r="R51" s="227">
        <f>+D51/C51*100</f>
        <v>89.847481467059566</v>
      </c>
      <c r="S51" s="223">
        <f>+C51-'57_NĐ31'!C50</f>
        <v>0</v>
      </c>
    </row>
    <row r="52" spans="1:19" ht="31.5">
      <c r="A52" s="266">
        <v>40</v>
      </c>
      <c r="B52" s="228" t="s">
        <v>1397</v>
      </c>
      <c r="C52" s="229">
        <f>+'57_NĐ31'!C51</f>
        <v>19071.920919999997</v>
      </c>
      <c r="D52" s="227">
        <f t="shared" si="3"/>
        <v>17917.707419999999</v>
      </c>
      <c r="E52" s="229">
        <v>0</v>
      </c>
      <c r="F52" s="229">
        <v>0</v>
      </c>
      <c r="G52" s="229">
        <v>0</v>
      </c>
      <c r="H52" s="229">
        <v>0</v>
      </c>
      <c r="I52" s="229">
        <v>0</v>
      </c>
      <c r="J52" s="229">
        <v>0</v>
      </c>
      <c r="K52" s="229">
        <v>0</v>
      </c>
      <c r="L52" s="229">
        <v>0</v>
      </c>
      <c r="M52" s="229">
        <v>17917.707419999999</v>
      </c>
      <c r="N52" s="229">
        <v>0</v>
      </c>
      <c r="O52" s="229">
        <v>0</v>
      </c>
      <c r="P52" s="229">
        <v>0</v>
      </c>
      <c r="Q52" s="229">
        <v>0</v>
      </c>
      <c r="R52" s="227">
        <f t="shared" si="2"/>
        <v>93.948100430777174</v>
      </c>
      <c r="S52" s="223">
        <f>+C52-'57_NĐ31'!C51</f>
        <v>0</v>
      </c>
    </row>
    <row r="53" spans="1:19" ht="24" customHeight="1">
      <c r="A53" s="266">
        <v>41</v>
      </c>
      <c r="B53" s="228" t="s">
        <v>107</v>
      </c>
      <c r="C53" s="227">
        <f>+'57_NĐ31'!C52</f>
        <v>98023.719924000005</v>
      </c>
      <c r="D53" s="227">
        <f t="shared" ref="D53:D59" si="4">SUM(E53:Q53)</f>
        <v>94342.911882999993</v>
      </c>
      <c r="E53" s="227"/>
      <c r="F53" s="232">
        <v>84.781884000000005</v>
      </c>
      <c r="G53" s="227"/>
      <c r="H53" s="227"/>
      <c r="I53" s="227"/>
      <c r="J53" s="227"/>
      <c r="K53" s="227"/>
      <c r="L53" s="227"/>
      <c r="M53" s="227"/>
      <c r="N53" s="227"/>
      <c r="O53" s="227">
        <v>94258.129998999997</v>
      </c>
      <c r="P53" s="227"/>
      <c r="Q53" s="227"/>
      <c r="R53" s="233">
        <f t="shared" ref="R53:R59" si="5">+D53/C53*100</f>
        <v>96.244982292190272</v>
      </c>
      <c r="S53" s="223">
        <f>+C53-'57_NĐ31'!C52</f>
        <v>0</v>
      </c>
    </row>
    <row r="54" spans="1:19" ht="36.75" customHeight="1">
      <c r="A54" s="266">
        <v>42</v>
      </c>
      <c r="B54" s="228" t="s">
        <v>1401</v>
      </c>
      <c r="C54" s="227">
        <v>10821.363518</v>
      </c>
      <c r="D54" s="227">
        <f t="shared" si="4"/>
        <v>10821.363518</v>
      </c>
      <c r="E54" s="227"/>
      <c r="F54" s="227"/>
      <c r="G54" s="227">
        <v>9780</v>
      </c>
      <c r="H54" s="227"/>
      <c r="I54" s="227"/>
      <c r="J54" s="227"/>
      <c r="K54" s="227"/>
      <c r="L54" s="227"/>
      <c r="M54" s="227"/>
      <c r="N54" s="227"/>
      <c r="O54" s="227">
        <v>1041.3635180000001</v>
      </c>
      <c r="P54" s="227"/>
      <c r="Q54" s="227"/>
      <c r="R54" s="227">
        <f t="shared" si="5"/>
        <v>100</v>
      </c>
      <c r="S54" s="223">
        <f>+C54-'57_NĐ31'!C53</f>
        <v>0</v>
      </c>
    </row>
    <row r="55" spans="1:19" ht="24" customHeight="1">
      <c r="A55" s="266">
        <v>43</v>
      </c>
      <c r="B55" s="228" t="s">
        <v>108</v>
      </c>
      <c r="C55" s="227">
        <f>+'57_NĐ31'!C54</f>
        <v>48889.414691999998</v>
      </c>
      <c r="D55" s="227">
        <f t="shared" si="4"/>
        <v>48889.242491999998</v>
      </c>
      <c r="E55" s="227">
        <v>8892</v>
      </c>
      <c r="F55" s="227"/>
      <c r="G55" s="227">
        <v>39997.242491999998</v>
      </c>
      <c r="H55" s="227"/>
      <c r="I55" s="227"/>
      <c r="J55" s="227"/>
      <c r="K55" s="227"/>
      <c r="L55" s="227"/>
      <c r="M55" s="227"/>
      <c r="N55" s="227"/>
      <c r="O55" s="227"/>
      <c r="P55" s="227"/>
      <c r="Q55" s="227"/>
      <c r="R55" s="227">
        <f t="shared" si="5"/>
        <v>99.999647776515459</v>
      </c>
      <c r="S55" s="223">
        <f>+C55-'57_NĐ31'!C54</f>
        <v>0</v>
      </c>
    </row>
    <row r="56" spans="1:19" ht="24" customHeight="1">
      <c r="A56" s="266">
        <v>44</v>
      </c>
      <c r="B56" s="228" t="s">
        <v>109</v>
      </c>
      <c r="C56" s="227">
        <f>+'57_NĐ31'!C55</f>
        <v>25795</v>
      </c>
      <c r="D56" s="227">
        <f t="shared" si="4"/>
        <v>25794.71</v>
      </c>
      <c r="E56" s="227">
        <v>4848.71</v>
      </c>
      <c r="F56" s="227"/>
      <c r="G56" s="227"/>
      <c r="H56" s="227">
        <f>20826+70</f>
        <v>20896</v>
      </c>
      <c r="I56" s="227"/>
      <c r="J56" s="227">
        <v>50</v>
      </c>
      <c r="K56" s="227"/>
      <c r="L56" s="227"/>
      <c r="M56" s="227"/>
      <c r="N56" s="227"/>
      <c r="O56" s="227"/>
      <c r="P56" s="227"/>
      <c r="Q56" s="227"/>
      <c r="R56" s="227">
        <f t="shared" si="5"/>
        <v>99.998875751114554</v>
      </c>
      <c r="S56" s="223">
        <f>+C56-'57_NĐ31'!C55</f>
        <v>0</v>
      </c>
    </row>
    <row r="57" spans="1:19" ht="31.5">
      <c r="A57" s="266">
        <v>45</v>
      </c>
      <c r="B57" s="228" t="s">
        <v>118</v>
      </c>
      <c r="C57" s="229">
        <v>1917</v>
      </c>
      <c r="D57" s="227">
        <f t="shared" si="4"/>
        <v>1887</v>
      </c>
      <c r="E57" s="229"/>
      <c r="F57" s="229"/>
      <c r="G57" s="229"/>
      <c r="H57" s="229"/>
      <c r="I57" s="229"/>
      <c r="J57" s="229">
        <v>1217</v>
      </c>
      <c r="K57" s="229"/>
      <c r="L57" s="229"/>
      <c r="M57" s="229"/>
      <c r="N57" s="229">
        <v>670</v>
      </c>
      <c r="O57" s="229"/>
      <c r="P57" s="229"/>
      <c r="Q57" s="229"/>
      <c r="R57" s="227">
        <f t="shared" si="5"/>
        <v>98.435054773082939</v>
      </c>
      <c r="S57" s="223">
        <f>+C57-'57_NĐ31'!C56</f>
        <v>0</v>
      </c>
    </row>
    <row r="58" spans="1:19" ht="31.5">
      <c r="A58" s="266">
        <v>46</v>
      </c>
      <c r="B58" s="228" t="s">
        <v>113</v>
      </c>
      <c r="C58" s="227">
        <f>361590.26081</f>
        <v>361590.26081000001</v>
      </c>
      <c r="D58" s="227">
        <f t="shared" si="4"/>
        <v>361590.26081000001</v>
      </c>
      <c r="E58" s="229"/>
      <c r="F58" s="229"/>
      <c r="G58" s="229"/>
      <c r="H58" s="229"/>
      <c r="I58" s="227">
        <f>361590.26081</f>
        <v>361590.26081000001</v>
      </c>
      <c r="J58" s="229"/>
      <c r="K58" s="229"/>
      <c r="L58" s="229"/>
      <c r="M58" s="229"/>
      <c r="N58" s="229"/>
      <c r="O58" s="229"/>
      <c r="P58" s="229"/>
      <c r="Q58" s="229"/>
      <c r="R58" s="227">
        <f t="shared" si="5"/>
        <v>100</v>
      </c>
      <c r="S58" s="223">
        <f>+C58-'57_NĐ31'!C57</f>
        <v>0</v>
      </c>
    </row>
    <row r="59" spans="1:19" ht="47.25">
      <c r="A59" s="266">
        <v>47</v>
      </c>
      <c r="B59" s="228" t="s">
        <v>117</v>
      </c>
      <c r="C59" s="229">
        <v>58791</v>
      </c>
      <c r="D59" s="227">
        <f t="shared" si="4"/>
        <v>58791</v>
      </c>
      <c r="E59" s="229"/>
      <c r="F59" s="229"/>
      <c r="G59" s="229"/>
      <c r="H59" s="229"/>
      <c r="I59" s="229"/>
      <c r="J59" s="229"/>
      <c r="K59" s="229"/>
      <c r="L59" s="229"/>
      <c r="M59" s="229"/>
      <c r="N59" s="229">
        <f>+C59-Q59</f>
        <v>58691</v>
      </c>
      <c r="O59" s="229"/>
      <c r="P59" s="229"/>
      <c r="Q59" s="229">
        <v>100</v>
      </c>
      <c r="R59" s="227">
        <f t="shared" si="5"/>
        <v>100</v>
      </c>
      <c r="S59" s="223">
        <f>+C59-'57_NĐ31'!C58</f>
        <v>0</v>
      </c>
    </row>
    <row r="60" spans="1:19" ht="21.75" customHeight="1">
      <c r="A60" s="266">
        <v>48</v>
      </c>
      <c r="B60" s="228" t="s">
        <v>1378</v>
      </c>
      <c r="C60" s="229">
        <v>3195.307542</v>
      </c>
      <c r="D60" s="227">
        <f t="shared" si="3"/>
        <v>3195.307542</v>
      </c>
      <c r="E60" s="229">
        <v>0</v>
      </c>
      <c r="F60" s="229">
        <v>0</v>
      </c>
      <c r="G60" s="229">
        <v>0</v>
      </c>
      <c r="H60" s="229">
        <v>0</v>
      </c>
      <c r="I60" s="229">
        <v>0</v>
      </c>
      <c r="J60" s="229">
        <v>0</v>
      </c>
      <c r="K60" s="229">
        <v>0</v>
      </c>
      <c r="L60" s="229">
        <v>0</v>
      </c>
      <c r="M60" s="229">
        <v>0</v>
      </c>
      <c r="N60" s="229">
        <v>0</v>
      </c>
      <c r="O60" s="229">
        <v>0</v>
      </c>
      <c r="P60" s="229">
        <v>743.37254199999995</v>
      </c>
      <c r="Q60" s="229">
        <v>2451.9349999999999</v>
      </c>
      <c r="R60" s="227">
        <f t="shared" si="2"/>
        <v>100</v>
      </c>
      <c r="S60" s="223">
        <f>+C60-'57_NĐ31'!C59</f>
        <v>0</v>
      </c>
    </row>
    <row r="61" spans="1:19" ht="21" customHeight="1">
      <c r="A61" s="266">
        <v>49</v>
      </c>
      <c r="B61" s="228" t="s">
        <v>1084</v>
      </c>
      <c r="C61" s="229">
        <v>750</v>
      </c>
      <c r="D61" s="227">
        <f t="shared" si="3"/>
        <v>750</v>
      </c>
      <c r="E61" s="229">
        <v>0</v>
      </c>
      <c r="F61" s="229">
        <v>0</v>
      </c>
      <c r="G61" s="229">
        <v>0</v>
      </c>
      <c r="H61" s="229">
        <v>0</v>
      </c>
      <c r="I61" s="229">
        <v>0</v>
      </c>
      <c r="J61" s="229">
        <v>0</v>
      </c>
      <c r="K61" s="229">
        <v>0</v>
      </c>
      <c r="L61" s="229">
        <v>0</v>
      </c>
      <c r="M61" s="229">
        <v>0</v>
      </c>
      <c r="N61" s="229">
        <v>0</v>
      </c>
      <c r="O61" s="229">
        <v>0</v>
      </c>
      <c r="P61" s="229">
        <v>0</v>
      </c>
      <c r="Q61" s="229">
        <v>750</v>
      </c>
      <c r="R61" s="227">
        <f t="shared" si="2"/>
        <v>100</v>
      </c>
      <c r="S61" s="223">
        <f>+C61-'57_NĐ31'!C60</f>
        <v>0</v>
      </c>
    </row>
    <row r="62" spans="1:19" ht="23.25" customHeight="1">
      <c r="A62" s="266">
        <v>50</v>
      </c>
      <c r="B62" s="228" t="s">
        <v>1085</v>
      </c>
      <c r="C62" s="229">
        <v>350</v>
      </c>
      <c r="D62" s="227">
        <f t="shared" si="3"/>
        <v>350</v>
      </c>
      <c r="E62" s="229">
        <v>0</v>
      </c>
      <c r="F62" s="229">
        <v>0</v>
      </c>
      <c r="G62" s="229">
        <v>0</v>
      </c>
      <c r="H62" s="229">
        <v>0</v>
      </c>
      <c r="I62" s="229">
        <v>0</v>
      </c>
      <c r="J62" s="229">
        <v>0</v>
      </c>
      <c r="K62" s="229">
        <v>0</v>
      </c>
      <c r="L62" s="229">
        <v>0</v>
      </c>
      <c r="M62" s="229">
        <v>0</v>
      </c>
      <c r="N62" s="229">
        <v>0</v>
      </c>
      <c r="O62" s="229">
        <v>350</v>
      </c>
      <c r="P62" s="229">
        <v>0</v>
      </c>
      <c r="Q62" s="229">
        <v>0</v>
      </c>
      <c r="R62" s="227">
        <f t="shared" si="2"/>
        <v>100</v>
      </c>
      <c r="S62" s="223">
        <f>+C62-'57_NĐ31'!C61</f>
        <v>0</v>
      </c>
    </row>
    <row r="63" spans="1:19" ht="31.5">
      <c r="A63" s="266">
        <v>51</v>
      </c>
      <c r="B63" s="228" t="s">
        <v>1403</v>
      </c>
      <c r="C63" s="229">
        <v>555</v>
      </c>
      <c r="D63" s="227">
        <f t="shared" si="3"/>
        <v>555</v>
      </c>
      <c r="E63" s="229">
        <v>0</v>
      </c>
      <c r="F63" s="229">
        <v>0</v>
      </c>
      <c r="G63" s="229">
        <v>0</v>
      </c>
      <c r="H63" s="229">
        <v>0</v>
      </c>
      <c r="I63" s="229">
        <v>0</v>
      </c>
      <c r="J63" s="229">
        <v>0</v>
      </c>
      <c r="K63" s="229">
        <v>0</v>
      </c>
      <c r="L63" s="229">
        <v>0</v>
      </c>
      <c r="M63" s="229">
        <v>0</v>
      </c>
      <c r="N63" s="229">
        <v>0</v>
      </c>
      <c r="O63" s="229">
        <v>0</v>
      </c>
      <c r="P63" s="229">
        <v>0</v>
      </c>
      <c r="Q63" s="229">
        <v>555</v>
      </c>
      <c r="R63" s="227">
        <f t="shared" si="2"/>
        <v>100</v>
      </c>
      <c r="S63" s="223">
        <f>+C63-'57_NĐ31'!C62</f>
        <v>0</v>
      </c>
    </row>
    <row r="64" spans="1:19" ht="31.5">
      <c r="A64" s="266">
        <v>52</v>
      </c>
      <c r="B64" s="228" t="s">
        <v>1377</v>
      </c>
      <c r="C64" s="229">
        <v>640</v>
      </c>
      <c r="D64" s="227">
        <f t="shared" si="3"/>
        <v>640</v>
      </c>
      <c r="E64" s="229">
        <v>0</v>
      </c>
      <c r="F64" s="229">
        <v>0</v>
      </c>
      <c r="G64" s="229">
        <v>0</v>
      </c>
      <c r="H64" s="229">
        <v>0</v>
      </c>
      <c r="I64" s="229">
        <v>0</v>
      </c>
      <c r="J64" s="229">
        <v>0</v>
      </c>
      <c r="K64" s="229">
        <v>0</v>
      </c>
      <c r="L64" s="229">
        <v>0</v>
      </c>
      <c r="M64" s="229">
        <v>0</v>
      </c>
      <c r="N64" s="229">
        <v>0</v>
      </c>
      <c r="O64" s="229">
        <v>0</v>
      </c>
      <c r="P64" s="229">
        <v>0</v>
      </c>
      <c r="Q64" s="229">
        <v>640</v>
      </c>
      <c r="R64" s="227">
        <f t="shared" si="2"/>
        <v>100</v>
      </c>
      <c r="S64" s="223">
        <f>+C64-'57_NĐ31'!C63</f>
        <v>0</v>
      </c>
    </row>
    <row r="65" spans="1:19" ht="31.5">
      <c r="A65" s="266">
        <v>53</v>
      </c>
      <c r="B65" s="228" t="s">
        <v>1086</v>
      </c>
      <c r="C65" s="229">
        <v>510</v>
      </c>
      <c r="D65" s="227">
        <f t="shared" si="3"/>
        <v>510</v>
      </c>
      <c r="E65" s="229">
        <v>0</v>
      </c>
      <c r="F65" s="229">
        <v>0</v>
      </c>
      <c r="G65" s="229">
        <v>0</v>
      </c>
      <c r="H65" s="229">
        <v>0</v>
      </c>
      <c r="I65" s="229">
        <v>0</v>
      </c>
      <c r="J65" s="229">
        <v>0</v>
      </c>
      <c r="K65" s="229">
        <v>0</v>
      </c>
      <c r="L65" s="229">
        <v>0</v>
      </c>
      <c r="M65" s="229">
        <v>0</v>
      </c>
      <c r="N65" s="229">
        <v>0</v>
      </c>
      <c r="O65" s="229">
        <v>0</v>
      </c>
      <c r="P65" s="229">
        <v>75</v>
      </c>
      <c r="Q65" s="229">
        <v>435</v>
      </c>
      <c r="R65" s="227">
        <f t="shared" si="2"/>
        <v>100</v>
      </c>
      <c r="S65" s="223">
        <f>+C65-'57_NĐ31'!C64</f>
        <v>0</v>
      </c>
    </row>
    <row r="66" spans="1:19" ht="24.75" customHeight="1">
      <c r="A66" s="266">
        <v>54</v>
      </c>
      <c r="B66" s="228" t="s">
        <v>1087</v>
      </c>
      <c r="C66" s="229">
        <v>925.5</v>
      </c>
      <c r="D66" s="227">
        <f t="shared" si="3"/>
        <v>925.5</v>
      </c>
      <c r="E66" s="229">
        <v>0</v>
      </c>
      <c r="F66" s="229">
        <v>0</v>
      </c>
      <c r="G66" s="229">
        <v>0</v>
      </c>
      <c r="H66" s="229">
        <v>0</v>
      </c>
      <c r="I66" s="229">
        <v>0</v>
      </c>
      <c r="J66" s="229">
        <v>0</v>
      </c>
      <c r="K66" s="229">
        <v>0</v>
      </c>
      <c r="L66" s="229">
        <v>0</v>
      </c>
      <c r="M66" s="229">
        <v>0</v>
      </c>
      <c r="N66" s="229">
        <v>0</v>
      </c>
      <c r="O66" s="229">
        <v>0</v>
      </c>
      <c r="P66" s="229">
        <v>0</v>
      </c>
      <c r="Q66" s="229">
        <v>925.5</v>
      </c>
      <c r="R66" s="227">
        <f t="shared" si="2"/>
        <v>100</v>
      </c>
      <c r="S66" s="223">
        <f>+C66-'57_NĐ31'!C65</f>
        <v>0</v>
      </c>
    </row>
    <row r="67" spans="1:19" ht="25.5" customHeight="1">
      <c r="A67" s="266">
        <v>55</v>
      </c>
      <c r="B67" s="228" t="s">
        <v>1088</v>
      </c>
      <c r="C67" s="229">
        <v>667.71</v>
      </c>
      <c r="D67" s="227">
        <f t="shared" si="3"/>
        <v>667.71</v>
      </c>
      <c r="E67" s="229">
        <v>0</v>
      </c>
      <c r="F67" s="229">
        <v>0</v>
      </c>
      <c r="G67" s="229">
        <v>0</v>
      </c>
      <c r="H67" s="229">
        <v>0</v>
      </c>
      <c r="I67" s="229">
        <v>0</v>
      </c>
      <c r="J67" s="229">
        <v>0</v>
      </c>
      <c r="K67" s="229">
        <v>0</v>
      </c>
      <c r="L67" s="229">
        <v>0</v>
      </c>
      <c r="M67" s="229">
        <v>0</v>
      </c>
      <c r="N67" s="229">
        <v>0</v>
      </c>
      <c r="O67" s="229">
        <v>667.71</v>
      </c>
      <c r="P67" s="229">
        <v>0</v>
      </c>
      <c r="Q67" s="229">
        <v>0</v>
      </c>
      <c r="R67" s="227">
        <f t="shared" si="2"/>
        <v>100</v>
      </c>
      <c r="S67" s="223">
        <f>+C67-'57_NĐ31'!C66</f>
        <v>0</v>
      </c>
    </row>
    <row r="68" spans="1:19" ht="31.5">
      <c r="A68" s="266">
        <v>56</v>
      </c>
      <c r="B68" s="228" t="s">
        <v>1089</v>
      </c>
      <c r="C68" s="229">
        <v>1906.9</v>
      </c>
      <c r="D68" s="227">
        <f t="shared" si="3"/>
        <v>1906.9</v>
      </c>
      <c r="E68" s="229">
        <v>0</v>
      </c>
      <c r="F68" s="229">
        <v>0</v>
      </c>
      <c r="G68" s="229">
        <v>0</v>
      </c>
      <c r="H68" s="229">
        <v>0</v>
      </c>
      <c r="I68" s="229">
        <v>0</v>
      </c>
      <c r="J68" s="229">
        <v>0</v>
      </c>
      <c r="K68" s="229">
        <v>0</v>
      </c>
      <c r="L68" s="229">
        <v>0</v>
      </c>
      <c r="M68" s="229">
        <v>0</v>
      </c>
      <c r="N68" s="229">
        <v>0</v>
      </c>
      <c r="O68" s="229">
        <v>1906.9</v>
      </c>
      <c r="P68" s="229">
        <v>0</v>
      </c>
      <c r="Q68" s="229">
        <v>0</v>
      </c>
      <c r="R68" s="227">
        <f t="shared" si="2"/>
        <v>100</v>
      </c>
      <c r="S68" s="223">
        <f>+C68-'57_NĐ31'!C67</f>
        <v>0</v>
      </c>
    </row>
    <row r="69" spans="1:19" ht="31.5">
      <c r="A69" s="266">
        <v>57</v>
      </c>
      <c r="B69" s="228" t="s">
        <v>1386</v>
      </c>
      <c r="C69" s="229">
        <f>+'57_NĐ31'!C68</f>
        <v>1391.1938</v>
      </c>
      <c r="D69" s="227">
        <f t="shared" si="3"/>
        <v>1391.1938</v>
      </c>
      <c r="E69" s="229">
        <v>0</v>
      </c>
      <c r="F69" s="229">
        <v>0</v>
      </c>
      <c r="G69" s="229">
        <v>0</v>
      </c>
      <c r="H69" s="229">
        <v>0</v>
      </c>
      <c r="I69" s="229">
        <v>0</v>
      </c>
      <c r="J69" s="229">
        <v>0</v>
      </c>
      <c r="K69" s="229">
        <v>0</v>
      </c>
      <c r="L69" s="229">
        <v>0</v>
      </c>
      <c r="M69" s="229">
        <v>0</v>
      </c>
      <c r="N69" s="229">
        <v>0</v>
      </c>
      <c r="O69" s="229">
        <v>1090</v>
      </c>
      <c r="P69" s="227">
        <v>301.19380000000001</v>
      </c>
      <c r="Q69" s="229">
        <v>0</v>
      </c>
      <c r="R69" s="227">
        <f t="shared" si="2"/>
        <v>100</v>
      </c>
      <c r="S69" s="223">
        <f>+C69-'57_NĐ31'!C68</f>
        <v>0</v>
      </c>
    </row>
    <row r="70" spans="1:19" ht="67.5" customHeight="1">
      <c r="A70" s="266">
        <v>58</v>
      </c>
      <c r="B70" s="228" t="s">
        <v>1398</v>
      </c>
      <c r="C70" s="229">
        <v>683.26467700000001</v>
      </c>
      <c r="D70" s="227">
        <f t="shared" si="3"/>
        <v>677.10567700000001</v>
      </c>
      <c r="E70" s="229">
        <v>0</v>
      </c>
      <c r="F70" s="229">
        <v>0</v>
      </c>
      <c r="G70" s="229">
        <v>0</v>
      </c>
      <c r="H70" s="229">
        <v>0</v>
      </c>
      <c r="I70" s="229">
        <v>0</v>
      </c>
      <c r="J70" s="229">
        <v>0</v>
      </c>
      <c r="K70" s="229">
        <v>0</v>
      </c>
      <c r="L70" s="229">
        <v>0</v>
      </c>
      <c r="M70" s="229">
        <v>0</v>
      </c>
      <c r="N70" s="229">
        <v>0</v>
      </c>
      <c r="O70" s="229">
        <v>0</v>
      </c>
      <c r="P70" s="227">
        <v>183.26467700000001</v>
      </c>
      <c r="Q70" s="229">
        <v>493.84100000000001</v>
      </c>
      <c r="R70" s="227">
        <f t="shared" si="2"/>
        <v>99.098592359985275</v>
      </c>
      <c r="S70" s="223">
        <f>+C70-'57_NĐ31'!C69</f>
        <v>0</v>
      </c>
    </row>
    <row r="71" spans="1:19" ht="24.75" customHeight="1">
      <c r="A71" s="266">
        <v>59</v>
      </c>
      <c r="B71" s="228" t="s">
        <v>1379</v>
      </c>
      <c r="C71" s="229">
        <f>+'57_NĐ31'!C70</f>
        <v>5352.7904150000004</v>
      </c>
      <c r="D71" s="227">
        <f t="shared" si="3"/>
        <v>5347.6363040000006</v>
      </c>
      <c r="E71" s="229">
        <v>0</v>
      </c>
      <c r="F71" s="229">
        <v>0</v>
      </c>
      <c r="G71" s="229">
        <v>0</v>
      </c>
      <c r="H71" s="229">
        <v>0</v>
      </c>
      <c r="I71" s="229">
        <v>0</v>
      </c>
      <c r="J71" s="229">
        <v>0</v>
      </c>
      <c r="K71" s="229">
        <v>0</v>
      </c>
      <c r="L71" s="229">
        <v>0</v>
      </c>
      <c r="M71" s="229">
        <v>0</v>
      </c>
      <c r="N71" s="229">
        <v>0</v>
      </c>
      <c r="O71" s="229">
        <v>0</v>
      </c>
      <c r="P71" s="227">
        <v>4692.7904150000004</v>
      </c>
      <c r="Q71" s="229">
        <v>654.84588900000006</v>
      </c>
      <c r="R71" s="227">
        <f t="shared" si="2"/>
        <v>99.903711698004159</v>
      </c>
      <c r="S71" s="223">
        <f>+C71-'57_NĐ31'!C70</f>
        <v>0</v>
      </c>
    </row>
    <row r="72" spans="1:19" ht="24.75" customHeight="1">
      <c r="A72" s="266">
        <v>60</v>
      </c>
      <c r="B72" s="228" t="s">
        <v>1091</v>
      </c>
      <c r="C72" s="229">
        <v>570</v>
      </c>
      <c r="D72" s="227">
        <f t="shared" si="3"/>
        <v>570</v>
      </c>
      <c r="E72" s="229">
        <v>0</v>
      </c>
      <c r="F72" s="229">
        <v>0</v>
      </c>
      <c r="G72" s="229">
        <v>0</v>
      </c>
      <c r="H72" s="229">
        <v>0</v>
      </c>
      <c r="I72" s="229">
        <v>0</v>
      </c>
      <c r="J72" s="229">
        <v>0</v>
      </c>
      <c r="K72" s="229">
        <v>0</v>
      </c>
      <c r="L72" s="229">
        <v>0</v>
      </c>
      <c r="M72" s="229">
        <v>0</v>
      </c>
      <c r="N72" s="229">
        <v>0</v>
      </c>
      <c r="O72" s="229">
        <v>0</v>
      </c>
      <c r="P72" s="229">
        <v>0</v>
      </c>
      <c r="Q72" s="229">
        <v>570</v>
      </c>
      <c r="R72" s="227">
        <f t="shared" si="2"/>
        <v>100</v>
      </c>
      <c r="S72" s="223">
        <f>+C72-'57_NĐ31'!C71</f>
        <v>0</v>
      </c>
    </row>
    <row r="73" spans="1:19" ht="38.25" customHeight="1">
      <c r="A73" s="266">
        <v>61</v>
      </c>
      <c r="B73" s="228" t="s">
        <v>1399</v>
      </c>
      <c r="C73" s="229">
        <v>1363.7670000000001</v>
      </c>
      <c r="D73" s="227">
        <f t="shared" si="3"/>
        <v>1252.55159</v>
      </c>
      <c r="E73" s="229">
        <v>0</v>
      </c>
      <c r="F73" s="229">
        <v>0</v>
      </c>
      <c r="G73" s="229">
        <v>0</v>
      </c>
      <c r="H73" s="229">
        <v>0</v>
      </c>
      <c r="I73" s="229">
        <v>0</v>
      </c>
      <c r="J73" s="229">
        <v>0</v>
      </c>
      <c r="K73" s="229">
        <v>0</v>
      </c>
      <c r="L73" s="229">
        <v>0</v>
      </c>
      <c r="M73" s="229">
        <v>0</v>
      </c>
      <c r="N73" s="229">
        <v>0</v>
      </c>
      <c r="O73" s="229">
        <v>1150</v>
      </c>
      <c r="P73" s="229">
        <v>0</v>
      </c>
      <c r="Q73" s="229">
        <v>102.55159</v>
      </c>
      <c r="R73" s="227">
        <f t="shared" si="2"/>
        <v>91.844984517149925</v>
      </c>
      <c r="S73" s="223">
        <f>+C73-'57_NĐ31'!C72</f>
        <v>0</v>
      </c>
    </row>
    <row r="74" spans="1:19" ht="24.75" customHeight="1">
      <c r="A74" s="266">
        <v>62</v>
      </c>
      <c r="B74" s="228" t="s">
        <v>1092</v>
      </c>
      <c r="C74" s="229">
        <f>+'57_NĐ31'!C73</f>
        <v>6072.9647660000001</v>
      </c>
      <c r="D74" s="227">
        <f t="shared" si="3"/>
        <v>6061.3695299999999</v>
      </c>
      <c r="E74" s="229">
        <v>0</v>
      </c>
      <c r="F74" s="229">
        <v>0</v>
      </c>
      <c r="G74" s="229">
        <v>0</v>
      </c>
      <c r="H74" s="229">
        <v>0</v>
      </c>
      <c r="I74" s="229">
        <v>0</v>
      </c>
      <c r="J74" s="229">
        <v>0</v>
      </c>
      <c r="K74" s="229">
        <v>0</v>
      </c>
      <c r="L74" s="229">
        <v>0</v>
      </c>
      <c r="M74" s="229">
        <v>0</v>
      </c>
      <c r="N74" s="229">
        <v>0</v>
      </c>
      <c r="O74" s="229">
        <v>1038.4047639999999</v>
      </c>
      <c r="P74" s="229">
        <v>5022.9647660000001</v>
      </c>
      <c r="Q74" s="229">
        <v>0</v>
      </c>
      <c r="R74" s="227">
        <f t="shared" si="2"/>
        <v>99.809067952033629</v>
      </c>
      <c r="S74" s="223">
        <f>+C74-'57_NĐ31'!C73</f>
        <v>0</v>
      </c>
    </row>
    <row r="75" spans="1:19" ht="23.25" customHeight="1">
      <c r="A75" s="266">
        <v>63</v>
      </c>
      <c r="B75" s="228" t="s">
        <v>1387</v>
      </c>
      <c r="C75" s="229">
        <f>+'57_NĐ31'!C74</f>
        <v>4588.3227480000005</v>
      </c>
      <c r="D75" s="227">
        <f t="shared" si="3"/>
        <v>4501.315748</v>
      </c>
      <c r="E75" s="229">
        <v>1566.69</v>
      </c>
      <c r="F75" s="229">
        <v>0</v>
      </c>
      <c r="G75" s="229">
        <v>0</v>
      </c>
      <c r="H75" s="229">
        <v>0</v>
      </c>
      <c r="I75" s="229">
        <v>0</v>
      </c>
      <c r="J75" s="229">
        <v>0</v>
      </c>
      <c r="K75" s="229">
        <v>0</v>
      </c>
      <c r="L75" s="229">
        <v>0</v>
      </c>
      <c r="M75" s="229">
        <v>0</v>
      </c>
      <c r="N75" s="229">
        <v>583.5</v>
      </c>
      <c r="O75" s="229">
        <v>1648.913</v>
      </c>
      <c r="P75" s="227">
        <v>616.32274800000005</v>
      </c>
      <c r="Q75" s="229">
        <v>85.89</v>
      </c>
      <c r="R75" s="227">
        <f t="shared" si="2"/>
        <v>98.103729733530059</v>
      </c>
      <c r="S75" s="223">
        <f>+C75-'57_NĐ31'!C74</f>
        <v>0</v>
      </c>
    </row>
    <row r="76" spans="1:19" ht="21.75" customHeight="1">
      <c r="A76" s="266">
        <v>64</v>
      </c>
      <c r="B76" s="228" t="s">
        <v>1093</v>
      </c>
      <c r="C76" s="229">
        <v>277</v>
      </c>
      <c r="D76" s="227">
        <f t="shared" si="3"/>
        <v>277</v>
      </c>
      <c r="E76" s="229">
        <v>0</v>
      </c>
      <c r="F76" s="229">
        <v>0</v>
      </c>
      <c r="G76" s="229">
        <v>0</v>
      </c>
      <c r="H76" s="229">
        <v>0</v>
      </c>
      <c r="I76" s="229">
        <v>0</v>
      </c>
      <c r="J76" s="229">
        <v>0</v>
      </c>
      <c r="K76" s="229">
        <v>0</v>
      </c>
      <c r="L76" s="229">
        <v>0</v>
      </c>
      <c r="M76" s="229">
        <v>0</v>
      </c>
      <c r="N76" s="229">
        <v>0</v>
      </c>
      <c r="O76" s="229">
        <v>0</v>
      </c>
      <c r="P76" s="229">
        <v>0</v>
      </c>
      <c r="Q76" s="229">
        <v>277</v>
      </c>
      <c r="R76" s="227">
        <f t="shared" si="2"/>
        <v>100</v>
      </c>
      <c r="S76" s="223">
        <f>+C76-'57_NĐ31'!C75</f>
        <v>0</v>
      </c>
    </row>
    <row r="77" spans="1:19" ht="21" customHeight="1">
      <c r="A77" s="266">
        <v>65</v>
      </c>
      <c r="B77" s="228" t="s">
        <v>1094</v>
      </c>
      <c r="C77" s="229">
        <v>130</v>
      </c>
      <c r="D77" s="227">
        <f t="shared" si="3"/>
        <v>130</v>
      </c>
      <c r="E77" s="229">
        <v>0</v>
      </c>
      <c r="F77" s="229">
        <v>0</v>
      </c>
      <c r="G77" s="229">
        <v>0</v>
      </c>
      <c r="H77" s="229">
        <v>0</v>
      </c>
      <c r="I77" s="229">
        <v>0</v>
      </c>
      <c r="J77" s="229">
        <v>0</v>
      </c>
      <c r="K77" s="229">
        <v>0</v>
      </c>
      <c r="L77" s="229">
        <v>0</v>
      </c>
      <c r="M77" s="229">
        <v>0</v>
      </c>
      <c r="N77" s="229">
        <v>0</v>
      </c>
      <c r="O77" s="229">
        <v>0</v>
      </c>
      <c r="P77" s="229">
        <v>0</v>
      </c>
      <c r="Q77" s="229">
        <v>130</v>
      </c>
      <c r="R77" s="227">
        <f t="shared" si="2"/>
        <v>100</v>
      </c>
      <c r="S77" s="223">
        <f>+C77-'57_NĐ31'!C76</f>
        <v>0</v>
      </c>
    </row>
    <row r="78" spans="1:19" ht="23.25" customHeight="1">
      <c r="A78" s="266">
        <v>66</v>
      </c>
      <c r="B78" s="228" t="s">
        <v>1095</v>
      </c>
      <c r="C78" s="229">
        <v>100</v>
      </c>
      <c r="D78" s="227">
        <f t="shared" si="3"/>
        <v>100</v>
      </c>
      <c r="E78" s="229">
        <v>0</v>
      </c>
      <c r="F78" s="229">
        <v>0</v>
      </c>
      <c r="G78" s="229">
        <v>0</v>
      </c>
      <c r="H78" s="229">
        <v>0</v>
      </c>
      <c r="I78" s="229">
        <v>0</v>
      </c>
      <c r="J78" s="229">
        <v>0</v>
      </c>
      <c r="K78" s="229">
        <v>0</v>
      </c>
      <c r="L78" s="229">
        <v>0</v>
      </c>
      <c r="M78" s="229">
        <v>0</v>
      </c>
      <c r="N78" s="229">
        <v>0</v>
      </c>
      <c r="O78" s="229">
        <v>0</v>
      </c>
      <c r="P78" s="229">
        <v>0</v>
      </c>
      <c r="Q78" s="229">
        <v>100</v>
      </c>
      <c r="R78" s="227">
        <f t="shared" si="2"/>
        <v>100</v>
      </c>
      <c r="S78" s="223">
        <f>+C78-'57_NĐ31'!C77</f>
        <v>0</v>
      </c>
    </row>
    <row r="79" spans="1:19" ht="37.5" customHeight="1">
      <c r="A79" s="266">
        <v>67</v>
      </c>
      <c r="B79" s="228" t="s">
        <v>1096</v>
      </c>
      <c r="C79" s="229">
        <v>250</v>
      </c>
      <c r="D79" s="227">
        <f t="shared" si="3"/>
        <v>250</v>
      </c>
      <c r="E79" s="229">
        <v>0</v>
      </c>
      <c r="F79" s="229">
        <v>0</v>
      </c>
      <c r="G79" s="229">
        <v>0</v>
      </c>
      <c r="H79" s="229">
        <v>0</v>
      </c>
      <c r="I79" s="229">
        <v>0</v>
      </c>
      <c r="J79" s="229">
        <v>0</v>
      </c>
      <c r="K79" s="229">
        <v>0</v>
      </c>
      <c r="L79" s="229">
        <v>0</v>
      </c>
      <c r="M79" s="229">
        <v>0</v>
      </c>
      <c r="N79" s="229">
        <v>0</v>
      </c>
      <c r="O79" s="229">
        <v>0</v>
      </c>
      <c r="P79" s="229">
        <v>250</v>
      </c>
      <c r="Q79" s="229">
        <v>0</v>
      </c>
      <c r="R79" s="227">
        <f t="shared" si="2"/>
        <v>100</v>
      </c>
      <c r="S79" s="223">
        <f>+C79-'57_NĐ31'!C78</f>
        <v>0</v>
      </c>
    </row>
    <row r="80" spans="1:19" ht="47.25">
      <c r="A80" s="266">
        <v>68</v>
      </c>
      <c r="B80" s="228" t="s">
        <v>110</v>
      </c>
      <c r="C80" s="227">
        <v>35</v>
      </c>
      <c r="D80" s="227">
        <f>SUM(E80:Q80)</f>
        <v>35</v>
      </c>
      <c r="E80" s="229"/>
      <c r="F80" s="229"/>
      <c r="G80" s="229"/>
      <c r="H80" s="229"/>
      <c r="I80" s="229"/>
      <c r="J80" s="229"/>
      <c r="K80" s="229"/>
      <c r="L80" s="229"/>
      <c r="M80" s="229"/>
      <c r="N80" s="229"/>
      <c r="O80" s="227">
        <v>35</v>
      </c>
      <c r="P80" s="229"/>
      <c r="Q80" s="229"/>
      <c r="R80" s="227">
        <f>+D80/C80*100</f>
        <v>100</v>
      </c>
      <c r="S80" s="223">
        <f>+C80-'57_NĐ31'!C84</f>
        <v>0</v>
      </c>
    </row>
    <row r="81" spans="1:19" ht="42.75" customHeight="1">
      <c r="A81" s="266">
        <v>69</v>
      </c>
      <c r="B81" s="228" t="s">
        <v>115</v>
      </c>
      <c r="C81" s="229">
        <v>30</v>
      </c>
      <c r="D81" s="227">
        <f>SUM(E81:Q81)</f>
        <v>30</v>
      </c>
      <c r="E81" s="229"/>
      <c r="F81" s="229"/>
      <c r="G81" s="229"/>
      <c r="H81" s="229"/>
      <c r="I81" s="229"/>
      <c r="J81" s="229"/>
      <c r="K81" s="229"/>
      <c r="L81" s="229"/>
      <c r="M81" s="229"/>
      <c r="N81" s="229"/>
      <c r="O81" s="229">
        <v>30</v>
      </c>
      <c r="P81" s="229"/>
      <c r="Q81" s="229"/>
      <c r="R81" s="227">
        <f>+D81/C81*100</f>
        <v>100</v>
      </c>
      <c r="S81" s="223">
        <f>+C81-'57_NĐ31'!C85</f>
        <v>0</v>
      </c>
    </row>
    <row r="82" spans="1:19" ht="27" customHeight="1">
      <c r="A82" s="266">
        <v>70</v>
      </c>
      <c r="B82" s="228" t="s">
        <v>1097</v>
      </c>
      <c r="C82" s="229">
        <v>160</v>
      </c>
      <c r="D82" s="227">
        <f t="shared" si="3"/>
        <v>160</v>
      </c>
      <c r="E82" s="229">
        <v>160</v>
      </c>
      <c r="F82" s="229">
        <v>0</v>
      </c>
      <c r="G82" s="229">
        <v>0</v>
      </c>
      <c r="H82" s="229">
        <v>0</v>
      </c>
      <c r="I82" s="229">
        <v>0</v>
      </c>
      <c r="J82" s="229">
        <v>0</v>
      </c>
      <c r="K82" s="229">
        <v>0</v>
      </c>
      <c r="L82" s="229">
        <v>0</v>
      </c>
      <c r="M82" s="229">
        <v>0</v>
      </c>
      <c r="N82" s="229">
        <v>0</v>
      </c>
      <c r="O82" s="229">
        <v>0</v>
      </c>
      <c r="P82" s="229">
        <v>0</v>
      </c>
      <c r="Q82" s="229">
        <v>0</v>
      </c>
      <c r="R82" s="227">
        <f t="shared" si="2"/>
        <v>100</v>
      </c>
      <c r="S82" s="223">
        <f>+C82-'57_NĐ31'!C79</f>
        <v>0</v>
      </c>
    </row>
    <row r="83" spans="1:19" ht="27" customHeight="1">
      <c r="A83" s="266">
        <v>71</v>
      </c>
      <c r="B83" s="228" t="s">
        <v>1098</v>
      </c>
      <c r="C83" s="229">
        <v>90</v>
      </c>
      <c r="D83" s="227">
        <f t="shared" si="3"/>
        <v>90</v>
      </c>
      <c r="E83" s="229">
        <v>0</v>
      </c>
      <c r="F83" s="229">
        <v>0</v>
      </c>
      <c r="G83" s="229">
        <v>0</v>
      </c>
      <c r="H83" s="229">
        <v>0</v>
      </c>
      <c r="I83" s="229">
        <v>0</v>
      </c>
      <c r="J83" s="229">
        <v>0</v>
      </c>
      <c r="K83" s="229">
        <v>0</v>
      </c>
      <c r="L83" s="229">
        <v>0</v>
      </c>
      <c r="M83" s="229">
        <v>0</v>
      </c>
      <c r="N83" s="229">
        <v>0</v>
      </c>
      <c r="O83" s="229">
        <v>0</v>
      </c>
      <c r="P83" s="229">
        <v>0</v>
      </c>
      <c r="Q83" s="229">
        <v>90</v>
      </c>
      <c r="R83" s="227">
        <f t="shared" si="2"/>
        <v>100</v>
      </c>
      <c r="S83" s="223">
        <f>+C83-'57_NĐ31'!C80</f>
        <v>0</v>
      </c>
    </row>
    <row r="84" spans="1:19" ht="27.75" customHeight="1">
      <c r="A84" s="266">
        <v>72</v>
      </c>
      <c r="B84" s="228" t="s">
        <v>119</v>
      </c>
      <c r="C84" s="229">
        <v>69.360399999999998</v>
      </c>
      <c r="D84" s="227">
        <f>SUM(E84:Q84)</f>
        <v>49.960500000000003</v>
      </c>
      <c r="E84" s="229"/>
      <c r="F84" s="229"/>
      <c r="G84" s="229"/>
      <c r="H84" s="229"/>
      <c r="I84" s="229"/>
      <c r="J84" s="229"/>
      <c r="K84" s="229"/>
      <c r="L84" s="229"/>
      <c r="M84" s="229"/>
      <c r="N84" s="229"/>
      <c r="O84" s="229"/>
      <c r="P84" s="229"/>
      <c r="Q84" s="229">
        <v>49.960500000000003</v>
      </c>
      <c r="R84" s="227">
        <f>+D84/C84*100</f>
        <v>72.030293942941512</v>
      </c>
      <c r="S84" s="223">
        <f>+C84-'57_NĐ31'!C81</f>
        <v>0</v>
      </c>
    </row>
    <row r="85" spans="1:19" ht="26.25" customHeight="1">
      <c r="A85" s="266">
        <v>73</v>
      </c>
      <c r="B85" s="228" t="s">
        <v>1099</v>
      </c>
      <c r="C85" s="229">
        <v>80</v>
      </c>
      <c r="D85" s="227">
        <f t="shared" si="3"/>
        <v>80</v>
      </c>
      <c r="E85" s="229">
        <v>0</v>
      </c>
      <c r="F85" s="229">
        <v>0</v>
      </c>
      <c r="G85" s="229">
        <v>0</v>
      </c>
      <c r="H85" s="229">
        <v>0</v>
      </c>
      <c r="I85" s="229">
        <v>0</v>
      </c>
      <c r="J85" s="229">
        <v>0</v>
      </c>
      <c r="K85" s="229">
        <v>0</v>
      </c>
      <c r="L85" s="229">
        <v>0</v>
      </c>
      <c r="M85" s="229">
        <v>0</v>
      </c>
      <c r="N85" s="229">
        <v>0</v>
      </c>
      <c r="O85" s="229">
        <v>0</v>
      </c>
      <c r="P85" s="229">
        <v>0</v>
      </c>
      <c r="Q85" s="229">
        <v>80</v>
      </c>
      <c r="R85" s="227">
        <f t="shared" si="2"/>
        <v>100</v>
      </c>
      <c r="S85" s="223">
        <f>+C85-'57_NĐ31'!C83</f>
        <v>0</v>
      </c>
    </row>
    <row r="86" spans="1:19" ht="41.25" customHeight="1">
      <c r="A86" s="266">
        <v>74</v>
      </c>
      <c r="B86" s="228" t="s">
        <v>120</v>
      </c>
      <c r="C86" s="229">
        <v>100</v>
      </c>
      <c r="D86" s="227">
        <f>SUM(E86:Q86)</f>
        <v>100</v>
      </c>
      <c r="E86" s="229"/>
      <c r="F86" s="229"/>
      <c r="G86" s="229"/>
      <c r="H86" s="229"/>
      <c r="I86" s="229"/>
      <c r="J86" s="229">
        <v>100</v>
      </c>
      <c r="K86" s="229"/>
      <c r="L86" s="229"/>
      <c r="M86" s="229"/>
      <c r="N86" s="229"/>
      <c r="O86" s="229"/>
      <c r="P86" s="229"/>
      <c r="Q86" s="229"/>
      <c r="R86" s="227">
        <f>+D86/C86*100</f>
        <v>100</v>
      </c>
      <c r="S86" s="223">
        <f>+C86-'57_NĐ31'!C82</f>
        <v>0</v>
      </c>
    </row>
    <row r="87" spans="1:19" ht="30.75" customHeight="1">
      <c r="A87" s="266">
        <v>75</v>
      </c>
      <c r="B87" s="228" t="s">
        <v>1400</v>
      </c>
      <c r="C87" s="229">
        <v>1915.925</v>
      </c>
      <c r="D87" s="227">
        <f t="shared" si="3"/>
        <v>1915.9250000000002</v>
      </c>
      <c r="E87" s="229">
        <v>11.025</v>
      </c>
      <c r="F87" s="229">
        <v>0</v>
      </c>
      <c r="G87" s="229">
        <v>0</v>
      </c>
      <c r="H87" s="229">
        <v>0</v>
      </c>
      <c r="I87" s="229">
        <v>0</v>
      </c>
      <c r="J87" s="229">
        <v>0</v>
      </c>
      <c r="K87" s="229">
        <v>0</v>
      </c>
      <c r="L87" s="229">
        <v>0</v>
      </c>
      <c r="M87" s="229">
        <v>0</v>
      </c>
      <c r="N87" s="229">
        <v>1904.9</v>
      </c>
      <c r="O87" s="229">
        <v>0</v>
      </c>
      <c r="P87" s="229">
        <v>0</v>
      </c>
      <c r="Q87" s="229">
        <v>0</v>
      </c>
      <c r="R87" s="234">
        <f t="shared" si="2"/>
        <v>100.00000000000003</v>
      </c>
      <c r="S87" s="223">
        <f>+C87-'57_NĐ31'!C86</f>
        <v>0</v>
      </c>
    </row>
    <row r="88" spans="1:19" ht="47.25">
      <c r="A88" s="266">
        <v>76</v>
      </c>
      <c r="B88" s="228" t="s">
        <v>111</v>
      </c>
      <c r="C88" s="227">
        <v>120</v>
      </c>
      <c r="D88" s="227">
        <f t="shared" ref="D88:D92" si="6">SUM(E88:Q88)</f>
        <v>120</v>
      </c>
      <c r="E88" s="229"/>
      <c r="F88" s="229"/>
      <c r="G88" s="229"/>
      <c r="H88" s="229"/>
      <c r="I88" s="229"/>
      <c r="J88" s="229"/>
      <c r="K88" s="229"/>
      <c r="L88" s="229"/>
      <c r="M88" s="229"/>
      <c r="N88" s="229">
        <v>120</v>
      </c>
      <c r="O88" s="229"/>
      <c r="P88" s="229"/>
      <c r="Q88" s="229"/>
      <c r="R88" s="227">
        <f t="shared" ref="R88:R92" si="7">+D88/C88*100</f>
        <v>100</v>
      </c>
      <c r="S88" s="223">
        <f>+C88-'57_NĐ31'!C87</f>
        <v>0</v>
      </c>
    </row>
    <row r="89" spans="1:19" ht="57" customHeight="1">
      <c r="A89" s="266">
        <v>77</v>
      </c>
      <c r="B89" s="228" t="s">
        <v>112</v>
      </c>
      <c r="C89" s="227">
        <f>+'57_NĐ31'!C88</f>
        <v>18403.305209999999</v>
      </c>
      <c r="D89" s="227">
        <f t="shared" si="6"/>
        <v>18403.305209999999</v>
      </c>
      <c r="E89" s="229"/>
      <c r="F89" s="229"/>
      <c r="G89" s="229"/>
      <c r="H89" s="229"/>
      <c r="I89" s="229">
        <v>18403.305209999999</v>
      </c>
      <c r="J89" s="229"/>
      <c r="K89" s="229"/>
      <c r="L89" s="229"/>
      <c r="M89" s="229"/>
      <c r="N89" s="229"/>
      <c r="O89" s="229"/>
      <c r="P89" s="229"/>
      <c r="Q89" s="229"/>
      <c r="R89" s="227">
        <f t="shared" si="7"/>
        <v>100</v>
      </c>
      <c r="S89" s="223">
        <f>+C89-'57_NĐ31'!C88</f>
        <v>0</v>
      </c>
    </row>
    <row r="90" spans="1:19" ht="40.5" customHeight="1">
      <c r="A90" s="266">
        <v>78</v>
      </c>
      <c r="B90" s="228" t="s">
        <v>116</v>
      </c>
      <c r="C90" s="229">
        <v>1474.630758</v>
      </c>
      <c r="D90" s="227">
        <f>SUM(E90:Q90)</f>
        <v>1474.630758</v>
      </c>
      <c r="E90" s="229"/>
      <c r="F90" s="229"/>
      <c r="G90" s="229"/>
      <c r="H90" s="229"/>
      <c r="I90" s="229"/>
      <c r="J90" s="229">
        <v>30</v>
      </c>
      <c r="K90" s="229"/>
      <c r="L90" s="229"/>
      <c r="M90" s="229">
        <v>1241.9807579999999</v>
      </c>
      <c r="N90" s="229"/>
      <c r="O90" s="229"/>
      <c r="P90" s="229"/>
      <c r="Q90" s="229">
        <v>202.65</v>
      </c>
      <c r="R90" s="227">
        <f>+D90/C90*100</f>
        <v>100</v>
      </c>
      <c r="S90" s="223">
        <f>+C90-'57_NĐ31'!C89</f>
        <v>0</v>
      </c>
    </row>
    <row r="91" spans="1:19" ht="39.75" customHeight="1">
      <c r="A91" s="266">
        <v>79</v>
      </c>
      <c r="B91" s="228" t="s">
        <v>1404</v>
      </c>
      <c r="C91" s="227">
        <v>54763.013720999996</v>
      </c>
      <c r="D91" s="227">
        <v>54383.853421</v>
      </c>
      <c r="E91" s="227">
        <v>0</v>
      </c>
      <c r="F91" s="227">
        <v>0</v>
      </c>
      <c r="G91" s="227">
        <v>0</v>
      </c>
      <c r="H91" s="227">
        <v>0</v>
      </c>
      <c r="I91" s="227">
        <v>0</v>
      </c>
      <c r="J91" s="227">
        <v>3195</v>
      </c>
      <c r="K91" s="227">
        <v>0</v>
      </c>
      <c r="L91" s="227">
        <v>0</v>
      </c>
      <c r="M91" s="227">
        <v>0</v>
      </c>
      <c r="N91" s="227">
        <v>44092.178414000002</v>
      </c>
      <c r="O91" s="227">
        <v>0</v>
      </c>
      <c r="P91" s="227">
        <v>0</v>
      </c>
      <c r="Q91" s="227">
        <v>7096.6750069999998</v>
      </c>
      <c r="R91" s="227">
        <f t="shared" si="7"/>
        <v>99.30763434252961</v>
      </c>
      <c r="S91" s="223"/>
    </row>
    <row r="92" spans="1:19" ht="54" customHeight="1">
      <c r="A92" s="267">
        <v>80</v>
      </c>
      <c r="B92" s="235" t="s">
        <v>1100</v>
      </c>
      <c r="C92" s="236">
        <v>11046.167873</v>
      </c>
      <c r="D92" s="234">
        <f t="shared" si="6"/>
        <v>11046.167873</v>
      </c>
      <c r="E92" s="236"/>
      <c r="F92" s="236"/>
      <c r="G92" s="236"/>
      <c r="H92" s="236"/>
      <c r="I92" s="236"/>
      <c r="J92" s="236"/>
      <c r="K92" s="236"/>
      <c r="L92" s="236"/>
      <c r="M92" s="236"/>
      <c r="N92" s="236"/>
      <c r="O92" s="236"/>
      <c r="P92" s="236"/>
      <c r="Q92" s="234">
        <v>11046.167873</v>
      </c>
      <c r="R92" s="234">
        <f t="shared" si="7"/>
        <v>100</v>
      </c>
      <c r="S92" s="223">
        <f>+C92-'57_NĐ31'!C91</f>
        <v>0</v>
      </c>
    </row>
    <row r="94" spans="1:19">
      <c r="B94" s="492" t="s">
        <v>1435</v>
      </c>
      <c r="C94" s="493"/>
      <c r="D94" s="493"/>
      <c r="E94" s="493"/>
      <c r="F94" s="493"/>
      <c r="G94" s="493"/>
      <c r="H94" s="493"/>
      <c r="I94" s="493"/>
    </row>
  </sheetData>
  <mergeCells count="23">
    <mergeCell ref="Q7:R7"/>
    <mergeCell ref="Q9:Q10"/>
    <mergeCell ref="R9:R10"/>
    <mergeCell ref="L9:L10"/>
    <mergeCell ref="M9:M10"/>
    <mergeCell ref="O9:O10"/>
    <mergeCell ref="P9:P10"/>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s>
  <pageMargins left="0.32" right="0.2" top="1" bottom="0.65" header="0.3" footer="0.3"/>
  <pageSetup paperSize="9" scale="70" orientation="landscape" verticalDpi="0"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69" customWidth="1"/>
    <col min="2" max="2" width="25.140625" style="62" customWidth="1"/>
    <col min="3" max="3" width="11.5703125" style="71" customWidth="1"/>
    <col min="4" max="4" width="10.140625" style="71" customWidth="1"/>
    <col min="5" max="5" width="9.140625" style="71" customWidth="1"/>
    <col min="6" max="6" width="7.7109375" style="71" customWidth="1"/>
    <col min="7" max="7" width="8.28515625" style="71" customWidth="1"/>
    <col min="8" max="8" width="8.5703125" style="71" customWidth="1"/>
    <col min="9" max="9" width="8.42578125" style="71" customWidth="1"/>
    <col min="10" max="10" width="9.140625" style="71" customWidth="1"/>
    <col min="11" max="11" width="8.28515625" style="71" customWidth="1"/>
    <col min="12" max="12" width="8.42578125" style="71" customWidth="1"/>
    <col min="13" max="13" width="9.140625" style="71" customWidth="1"/>
    <col min="14" max="14" width="10.28515625" style="71" customWidth="1"/>
    <col min="15" max="15" width="8.28515625" style="71" customWidth="1"/>
    <col min="16" max="16" width="9" style="71" customWidth="1"/>
    <col min="17" max="17" width="9.7109375" style="71" customWidth="1"/>
    <col min="18" max="18" width="7.7109375" style="71" customWidth="1"/>
    <col min="19" max="19" width="10.85546875" style="62" customWidth="1"/>
    <col min="20" max="20" width="7" style="73" customWidth="1"/>
    <col min="21" max="22" width="12.140625" style="62" bestFit="1" customWidth="1"/>
    <col min="23" max="16384" width="9.140625" style="62"/>
  </cols>
  <sheetData>
    <row r="1" spans="1:20">
      <c r="A1" s="37"/>
      <c r="B1" s="59"/>
      <c r="C1" s="60"/>
      <c r="D1" s="60"/>
      <c r="E1" s="60"/>
      <c r="F1" s="60"/>
      <c r="G1" s="60"/>
      <c r="H1" s="60"/>
      <c r="I1" s="60"/>
      <c r="J1" s="60"/>
      <c r="K1" s="60"/>
      <c r="L1" s="60"/>
      <c r="M1" s="60"/>
      <c r="N1" s="60"/>
      <c r="O1" s="60"/>
      <c r="P1" s="60"/>
      <c r="Q1" s="60"/>
      <c r="R1" s="60"/>
      <c r="S1" s="38" t="s">
        <v>54</v>
      </c>
      <c r="T1" s="61"/>
    </row>
    <row r="2" spans="1:20">
      <c r="A2" s="37"/>
      <c r="B2" s="59"/>
      <c r="C2" s="60"/>
      <c r="D2" s="60"/>
      <c r="E2" s="60"/>
      <c r="F2" s="60"/>
      <c r="G2" s="60"/>
      <c r="H2" s="60"/>
      <c r="I2" s="60"/>
      <c r="J2" s="60"/>
      <c r="K2" s="60"/>
      <c r="L2" s="60"/>
      <c r="M2" s="60"/>
      <c r="N2" s="60"/>
      <c r="O2" s="60"/>
      <c r="P2" s="60"/>
      <c r="Q2" s="60"/>
      <c r="R2" s="511" t="s">
        <v>104</v>
      </c>
      <c r="S2" s="511"/>
      <c r="T2" s="511"/>
    </row>
    <row r="3" spans="1:20">
      <c r="A3" s="37"/>
      <c r="B3" s="59"/>
      <c r="C3" s="60"/>
      <c r="D3" s="60"/>
      <c r="E3" s="60"/>
      <c r="F3" s="60"/>
      <c r="G3" s="60"/>
      <c r="H3" s="60"/>
      <c r="I3" s="60"/>
      <c r="J3" s="60"/>
      <c r="K3" s="60"/>
      <c r="L3" s="60"/>
      <c r="M3" s="60"/>
      <c r="N3" s="60"/>
      <c r="O3" s="60"/>
      <c r="P3" s="60"/>
      <c r="Q3" s="60"/>
      <c r="R3" s="511"/>
      <c r="S3" s="511"/>
      <c r="T3" s="511"/>
    </row>
    <row r="4" spans="1:20" s="63" customFormat="1" ht="15.75">
      <c r="A4" s="508" t="s">
        <v>1380</v>
      </c>
      <c r="B4" s="508"/>
      <c r="C4" s="508"/>
      <c r="D4" s="508"/>
      <c r="E4" s="508"/>
      <c r="F4" s="508"/>
      <c r="G4" s="508"/>
      <c r="H4" s="508"/>
      <c r="I4" s="508"/>
      <c r="J4" s="508"/>
      <c r="K4" s="508"/>
      <c r="L4" s="508"/>
      <c r="M4" s="508"/>
      <c r="N4" s="508"/>
      <c r="O4" s="508"/>
      <c r="P4" s="508"/>
      <c r="Q4" s="508"/>
      <c r="R4" s="508"/>
      <c r="S4" s="508"/>
      <c r="T4" s="508"/>
    </row>
    <row r="5" spans="1:20" s="63" customFormat="1" ht="15.75">
      <c r="A5" s="103"/>
      <c r="B5" s="103"/>
      <c r="C5" s="103"/>
      <c r="D5" s="103"/>
      <c r="E5" s="103"/>
      <c r="F5" s="103"/>
      <c r="G5" s="103"/>
      <c r="H5" s="103"/>
      <c r="I5" s="103"/>
      <c r="J5" s="103"/>
      <c r="K5" s="103"/>
      <c r="L5" s="103"/>
      <c r="M5" s="103"/>
      <c r="N5" s="103"/>
      <c r="O5" s="103"/>
      <c r="P5" s="103"/>
      <c r="Q5" s="103"/>
      <c r="R5" s="62"/>
      <c r="S5" s="66" t="s">
        <v>20</v>
      </c>
      <c r="T5" s="103"/>
    </row>
    <row r="6" spans="1:20">
      <c r="A6" s="64"/>
      <c r="B6" s="59"/>
      <c r="C6" s="60"/>
      <c r="D6" s="108"/>
      <c r="E6" s="65"/>
      <c r="F6" s="65"/>
      <c r="G6" s="65"/>
      <c r="H6" s="65"/>
      <c r="I6" s="65"/>
      <c r="J6" s="65"/>
      <c r="K6" s="65"/>
      <c r="L6" s="65"/>
      <c r="M6" s="65"/>
      <c r="N6" s="65"/>
      <c r="O6" s="65"/>
      <c r="P6" s="65"/>
      <c r="Q6" s="65"/>
      <c r="R6" s="107"/>
      <c r="S6" s="107"/>
      <c r="T6" s="61"/>
    </row>
    <row r="7" spans="1:20" s="67" customFormat="1" ht="12.75" customHeight="1">
      <c r="A7" s="509" t="s">
        <v>1</v>
      </c>
      <c r="B7" s="510" t="s">
        <v>52</v>
      </c>
      <c r="C7" s="510" t="s">
        <v>1381</v>
      </c>
      <c r="D7" s="510" t="s">
        <v>22</v>
      </c>
      <c r="E7" s="507" t="s">
        <v>42</v>
      </c>
      <c r="F7" s="507" t="s">
        <v>43</v>
      </c>
      <c r="G7" s="507" t="s">
        <v>13</v>
      </c>
      <c r="H7" s="507" t="s">
        <v>14</v>
      </c>
      <c r="I7" s="507" t="s">
        <v>44</v>
      </c>
      <c r="J7" s="507" t="s">
        <v>45</v>
      </c>
      <c r="K7" s="507" t="s">
        <v>46</v>
      </c>
      <c r="L7" s="507" t="s">
        <v>47</v>
      </c>
      <c r="M7" s="507" t="s">
        <v>48</v>
      </c>
      <c r="N7" s="507" t="s">
        <v>15</v>
      </c>
      <c r="O7" s="512" t="s">
        <v>18</v>
      </c>
      <c r="P7" s="512"/>
      <c r="Q7" s="507" t="s">
        <v>1222</v>
      </c>
      <c r="R7" s="507" t="s">
        <v>49</v>
      </c>
      <c r="S7" s="507" t="s">
        <v>1382</v>
      </c>
      <c r="T7" s="513" t="s">
        <v>32</v>
      </c>
    </row>
    <row r="8" spans="1:20" s="67" customFormat="1" ht="57.75" customHeight="1">
      <c r="A8" s="509"/>
      <c r="B8" s="510"/>
      <c r="C8" s="510"/>
      <c r="D8" s="510"/>
      <c r="E8" s="507"/>
      <c r="F8" s="507"/>
      <c r="G8" s="507"/>
      <c r="H8" s="507"/>
      <c r="I8" s="507"/>
      <c r="J8" s="507"/>
      <c r="K8" s="507"/>
      <c r="L8" s="507"/>
      <c r="M8" s="507"/>
      <c r="N8" s="507"/>
      <c r="O8" s="68" t="s">
        <v>55</v>
      </c>
      <c r="P8" s="102" t="s">
        <v>1221</v>
      </c>
      <c r="Q8" s="507"/>
      <c r="R8" s="507"/>
      <c r="S8" s="507"/>
      <c r="T8" s="514"/>
    </row>
    <row r="9" spans="1:20" s="69" customFormat="1">
      <c r="A9" s="270" t="s">
        <v>3</v>
      </c>
      <c r="B9" s="270" t="s">
        <v>4</v>
      </c>
      <c r="C9" s="270">
        <v>1</v>
      </c>
      <c r="D9" s="270" t="s">
        <v>1428</v>
      </c>
      <c r="E9" s="270">
        <v>3</v>
      </c>
      <c r="F9" s="270">
        <v>4</v>
      </c>
      <c r="G9" s="270">
        <v>5</v>
      </c>
      <c r="H9" s="270">
        <v>6</v>
      </c>
      <c r="I9" s="270">
        <v>7</v>
      </c>
      <c r="J9" s="270">
        <v>8</v>
      </c>
      <c r="K9" s="270">
        <v>9</v>
      </c>
      <c r="L9" s="270">
        <v>10</v>
      </c>
      <c r="M9" s="270">
        <v>11</v>
      </c>
      <c r="N9" s="270">
        <v>12</v>
      </c>
      <c r="O9" s="270">
        <v>13</v>
      </c>
      <c r="P9" s="270">
        <v>14</v>
      </c>
      <c r="Q9" s="270">
        <v>15</v>
      </c>
      <c r="R9" s="270">
        <v>16</v>
      </c>
      <c r="S9" s="270">
        <v>17</v>
      </c>
      <c r="T9" s="271" t="s">
        <v>56</v>
      </c>
    </row>
    <row r="10" spans="1:20" s="71" customFormat="1" ht="21.75" customHeight="1">
      <c r="A10" s="70"/>
      <c r="B10" s="106" t="s">
        <v>0</v>
      </c>
      <c r="C10" s="22">
        <f>SUM(C11:C93)</f>
        <v>4306449.0689629996</v>
      </c>
      <c r="D10" s="22">
        <f t="shared" ref="D10:S10" si="0">SUM(D11:D93)</f>
        <v>2711744.378759</v>
      </c>
      <c r="E10" s="22">
        <f t="shared" si="0"/>
        <v>101184.703228</v>
      </c>
      <c r="F10" s="22">
        <f t="shared" si="0"/>
        <v>3061.5140999999999</v>
      </c>
      <c r="G10" s="22">
        <f t="shared" si="0"/>
        <v>115557.089322</v>
      </c>
      <c r="H10" s="22">
        <f t="shared" si="0"/>
        <v>4982.723</v>
      </c>
      <c r="I10" s="22">
        <f t="shared" si="0"/>
        <v>157474.11784200001</v>
      </c>
      <c r="J10" s="22">
        <f t="shared" si="0"/>
        <v>41756.791899999997</v>
      </c>
      <c r="K10" s="22">
        <f t="shared" si="0"/>
        <v>4500</v>
      </c>
      <c r="L10" s="22">
        <f t="shared" si="0"/>
        <v>87.917126999999994</v>
      </c>
      <c r="M10" s="22">
        <f t="shared" si="0"/>
        <v>156866.38208200003</v>
      </c>
      <c r="N10" s="22">
        <f t="shared" si="0"/>
        <v>1928657.3263470004</v>
      </c>
      <c r="O10" s="22">
        <f t="shared" si="0"/>
        <v>769509.03334700014</v>
      </c>
      <c r="P10" s="22">
        <f t="shared" si="0"/>
        <v>94605.940463999985</v>
      </c>
      <c r="Q10" s="22">
        <f t="shared" si="0"/>
        <v>41497.578805000005</v>
      </c>
      <c r="R10" s="22">
        <f t="shared" si="0"/>
        <v>9344.8089999999993</v>
      </c>
      <c r="S10" s="22">
        <f t="shared" si="0"/>
        <v>146773.42600599999</v>
      </c>
      <c r="T10" s="23">
        <f>D10/C10*100</f>
        <v>62.969382322498767</v>
      </c>
    </row>
    <row r="11" spans="1:20" ht="26.25" customHeight="1">
      <c r="A11" s="9">
        <v>1</v>
      </c>
      <c r="B11" s="10" t="s">
        <v>127</v>
      </c>
      <c r="C11" s="278">
        <f>1700+456.31</f>
        <v>2156.31</v>
      </c>
      <c r="D11" s="278">
        <f>905.69882+421.972</f>
        <v>1327.6708199999998</v>
      </c>
      <c r="E11" s="278"/>
      <c r="F11" s="278"/>
      <c r="G11" s="278"/>
      <c r="H11" s="278"/>
      <c r="I11" s="278"/>
      <c r="J11" s="278">
        <v>421.97199999999998</v>
      </c>
      <c r="K11" s="278"/>
      <c r="L11" s="278"/>
      <c r="M11" s="278"/>
      <c r="N11" s="278">
        <v>905.69881999999996</v>
      </c>
      <c r="O11" s="278"/>
      <c r="P11" s="278"/>
      <c r="Q11" s="278"/>
      <c r="R11" s="278"/>
      <c r="S11" s="279"/>
      <c r="T11" s="280">
        <f t="shared" ref="T11:T75" si="1">D11/C11*100</f>
        <v>61.571426186401766</v>
      </c>
    </row>
    <row r="12" spans="1:20" ht="33.75" customHeight="1">
      <c r="A12" s="9">
        <v>2</v>
      </c>
      <c r="B12" s="12" t="s">
        <v>129</v>
      </c>
      <c r="C12" s="278">
        <f>713019.36888+133579.372445</f>
        <v>846598.74132499995</v>
      </c>
      <c r="D12" s="278">
        <f>610532.545598+107317.78554</f>
        <v>717850.33113800001</v>
      </c>
      <c r="E12" s="278">
        <v>17063.8622</v>
      </c>
      <c r="F12" s="278"/>
      <c r="G12" s="278"/>
      <c r="H12" s="278"/>
      <c r="I12" s="278">
        <v>1286.663</v>
      </c>
      <c r="J12" s="278">
        <v>14267.297</v>
      </c>
      <c r="K12" s="278"/>
      <c r="L12" s="278"/>
      <c r="M12" s="278">
        <v>148985.668638</v>
      </c>
      <c r="N12" s="278">
        <v>502677.73823100002</v>
      </c>
      <c r="O12" s="278">
        <v>231922.493938</v>
      </c>
      <c r="P12" s="278">
        <v>6076.4072340000002</v>
      </c>
      <c r="Q12" s="278">
        <v>31459.102069</v>
      </c>
      <c r="R12" s="278">
        <v>2110</v>
      </c>
      <c r="S12" s="279"/>
      <c r="T12" s="280">
        <f t="shared" si="1"/>
        <v>84.792274792955908</v>
      </c>
    </row>
    <row r="13" spans="1:20" ht="33" customHeight="1">
      <c r="A13" s="9">
        <v>3</v>
      </c>
      <c r="B13" s="14" t="s">
        <v>1419</v>
      </c>
      <c r="C13" s="278">
        <f>100000+2640.666</f>
        <v>102640.666</v>
      </c>
      <c r="D13" s="278">
        <f>40127.717+2569.229</f>
        <v>42696.945999999996</v>
      </c>
      <c r="E13" s="278"/>
      <c r="F13" s="278"/>
      <c r="G13" s="278"/>
      <c r="H13" s="278"/>
      <c r="I13" s="278"/>
      <c r="J13" s="278"/>
      <c r="K13" s="278"/>
      <c r="L13" s="278"/>
      <c r="M13" s="278"/>
      <c r="N13" s="278">
        <f>40127.717+2569.229</f>
        <v>42696.945999999996</v>
      </c>
      <c r="O13" s="278">
        <f>40127.717+2569.229</f>
        <v>42696.945999999996</v>
      </c>
      <c r="P13" s="278"/>
      <c r="Q13" s="278"/>
      <c r="R13" s="278"/>
      <c r="S13" s="279"/>
      <c r="T13" s="280">
        <f t="shared" ref="T13:T20" si="2">D13/C13*100</f>
        <v>41.598469363010558</v>
      </c>
    </row>
    <row r="14" spans="1:20" ht="33" customHeight="1">
      <c r="A14" s="9">
        <v>4</v>
      </c>
      <c r="B14" s="11" t="s">
        <v>1420</v>
      </c>
      <c r="C14" s="278">
        <v>68950</v>
      </c>
      <c r="D14" s="278">
        <v>13174.22</v>
      </c>
      <c r="E14" s="278"/>
      <c r="F14" s="278"/>
      <c r="G14" s="278"/>
      <c r="H14" s="278"/>
      <c r="I14" s="278"/>
      <c r="J14" s="278"/>
      <c r="K14" s="278"/>
      <c r="L14" s="278"/>
      <c r="M14" s="278"/>
      <c r="N14" s="278">
        <v>13174.22</v>
      </c>
      <c r="O14" s="278"/>
      <c r="P14" s="278">
        <v>13174.22</v>
      </c>
      <c r="Q14" s="278"/>
      <c r="R14" s="278"/>
      <c r="S14" s="279"/>
      <c r="T14" s="280">
        <f t="shared" si="2"/>
        <v>19.106918056562723</v>
      </c>
    </row>
    <row r="15" spans="1:20" ht="33" customHeight="1">
      <c r="A15" s="9">
        <v>5</v>
      </c>
      <c r="B15" s="14" t="s">
        <v>156</v>
      </c>
      <c r="C15" s="278">
        <f>91830.61694+7123.36564</f>
        <v>98953.982580000011</v>
      </c>
      <c r="D15" s="278">
        <f>72504.079896+6666.38137</f>
        <v>79170.461265999998</v>
      </c>
      <c r="E15" s="278"/>
      <c r="F15" s="278"/>
      <c r="G15" s="278"/>
      <c r="H15" s="278"/>
      <c r="I15" s="278"/>
      <c r="J15" s="278"/>
      <c r="K15" s="278"/>
      <c r="L15" s="278"/>
      <c r="M15" s="278"/>
      <c r="N15" s="278">
        <f>72504.079896+6666.38137</f>
        <v>79170.461265999998</v>
      </c>
      <c r="O15" s="278"/>
      <c r="P15" s="278"/>
      <c r="Q15" s="278"/>
      <c r="R15" s="278"/>
      <c r="S15" s="279"/>
      <c r="T15" s="280">
        <f t="shared" si="2"/>
        <v>80.007352106312752</v>
      </c>
    </row>
    <row r="16" spans="1:20" ht="33" customHeight="1">
      <c r="A16" s="9">
        <v>6</v>
      </c>
      <c r="B16" s="11" t="s">
        <v>1421</v>
      </c>
      <c r="C16" s="278">
        <f>512444.846433+178484.907056+4328.453053+4660.1854+810000+335.35833</f>
        <v>1510253.750272</v>
      </c>
      <c r="D16" s="278">
        <f>343287.510483+94662.576662+4083+4550-233.943923</f>
        <v>446349.14322199998</v>
      </c>
      <c r="E16" s="278"/>
      <c r="F16" s="278"/>
      <c r="G16" s="278"/>
      <c r="H16" s="278"/>
      <c r="I16" s="278"/>
      <c r="J16" s="278"/>
      <c r="K16" s="278"/>
      <c r="L16" s="278"/>
      <c r="M16" s="278">
        <f>7088.480727-233.943923</f>
        <v>6854.5368040000003</v>
      </c>
      <c r="N16" s="278">
        <f>430861.606418+8633</f>
        <v>439494.60641800001</v>
      </c>
      <c r="O16" s="278">
        <f>279161.441311-242097</f>
        <v>37064.441310999973</v>
      </c>
      <c r="P16" s="278"/>
      <c r="Q16" s="278"/>
      <c r="R16" s="278"/>
      <c r="S16" s="279"/>
      <c r="T16" s="280">
        <f t="shared" si="2"/>
        <v>29.55457936400499</v>
      </c>
    </row>
    <row r="17" spans="1:20" ht="30.75" customHeight="1">
      <c r="A17" s="9">
        <v>7</v>
      </c>
      <c r="B17" s="12" t="s">
        <v>1416</v>
      </c>
      <c r="C17" s="278">
        <f>81449.795348+43185.125621</f>
        <v>124634.920969</v>
      </c>
      <c r="D17" s="278">
        <f>51308.91626+31009.678229</f>
        <v>82318.594488999996</v>
      </c>
      <c r="E17" s="278"/>
      <c r="F17" s="278"/>
      <c r="G17" s="278"/>
      <c r="H17" s="278"/>
      <c r="I17" s="278"/>
      <c r="J17" s="278"/>
      <c r="K17" s="278"/>
      <c r="L17" s="278"/>
      <c r="M17" s="278"/>
      <c r="N17" s="278">
        <v>82144.191489000004</v>
      </c>
      <c r="O17" s="278"/>
      <c r="P17" s="278">
        <v>53862.844270000001</v>
      </c>
      <c r="Q17" s="278">
        <v>174.40299999999999</v>
      </c>
      <c r="R17" s="278"/>
      <c r="S17" s="279"/>
      <c r="T17" s="280">
        <f t="shared" si="2"/>
        <v>66.047776858200763</v>
      </c>
    </row>
    <row r="18" spans="1:20" ht="33" customHeight="1">
      <c r="A18" s="9">
        <v>8</v>
      </c>
      <c r="B18" s="11" t="s">
        <v>168</v>
      </c>
      <c r="C18" s="278">
        <f>6000+5650</f>
        <v>11650</v>
      </c>
      <c r="D18" s="278">
        <f>5563.663+5650</f>
        <v>11213.663</v>
      </c>
      <c r="E18" s="278"/>
      <c r="F18" s="278"/>
      <c r="G18" s="278"/>
      <c r="H18" s="278"/>
      <c r="I18" s="278"/>
      <c r="J18" s="278"/>
      <c r="K18" s="278"/>
      <c r="L18" s="278"/>
      <c r="M18" s="278"/>
      <c r="N18" s="278">
        <f>5563.663+5650</f>
        <v>11213.663</v>
      </c>
      <c r="O18" s="278"/>
      <c r="P18" s="278">
        <v>10813.663</v>
      </c>
      <c r="Q18" s="281">
        <v>1500</v>
      </c>
      <c r="R18" s="278"/>
      <c r="S18" s="279"/>
      <c r="T18" s="280">
        <f t="shared" si="2"/>
        <v>96.254618025751085</v>
      </c>
    </row>
    <row r="19" spans="1:20" ht="20.25" customHeight="1">
      <c r="A19" s="9">
        <v>9</v>
      </c>
      <c r="B19" s="14" t="s">
        <v>170</v>
      </c>
      <c r="C19" s="282">
        <v>100</v>
      </c>
      <c r="D19" s="281">
        <v>80.100981000000004</v>
      </c>
      <c r="E19" s="278"/>
      <c r="F19" s="278"/>
      <c r="G19" s="278"/>
      <c r="H19" s="278"/>
      <c r="I19" s="278"/>
      <c r="J19" s="278"/>
      <c r="K19" s="278"/>
      <c r="L19" s="278"/>
      <c r="M19" s="278"/>
      <c r="N19" s="281">
        <v>80.100981000000004</v>
      </c>
      <c r="O19" s="278"/>
      <c r="P19" s="278"/>
      <c r="Q19" s="278"/>
      <c r="R19" s="278"/>
      <c r="S19" s="279"/>
      <c r="T19" s="280">
        <f t="shared" si="2"/>
        <v>80.100981000000004</v>
      </c>
    </row>
    <row r="20" spans="1:20" ht="32.25" customHeight="1">
      <c r="A20" s="9">
        <v>10</v>
      </c>
      <c r="B20" s="14" t="s">
        <v>191</v>
      </c>
      <c r="C20" s="282">
        <f>600-300</f>
        <v>300</v>
      </c>
      <c r="D20" s="281">
        <v>300</v>
      </c>
      <c r="E20" s="278"/>
      <c r="F20" s="278"/>
      <c r="G20" s="278"/>
      <c r="H20" s="278"/>
      <c r="I20" s="278"/>
      <c r="J20" s="278"/>
      <c r="K20" s="278"/>
      <c r="L20" s="278"/>
      <c r="M20" s="278"/>
      <c r="N20" s="281">
        <v>300</v>
      </c>
      <c r="O20" s="278"/>
      <c r="P20" s="278"/>
      <c r="Q20" s="278"/>
      <c r="R20" s="278"/>
      <c r="S20" s="279"/>
      <c r="T20" s="280">
        <f t="shared" si="2"/>
        <v>100</v>
      </c>
    </row>
    <row r="21" spans="1:20" ht="33.75" customHeight="1">
      <c r="A21" s="9">
        <v>11</v>
      </c>
      <c r="B21" s="13" t="s">
        <v>130</v>
      </c>
      <c r="C21" s="282">
        <v>7.1348550000000017</v>
      </c>
      <c r="D21" s="278">
        <v>0</v>
      </c>
      <c r="E21" s="278"/>
      <c r="F21" s="278"/>
      <c r="G21" s="278"/>
      <c r="H21" s="278"/>
      <c r="I21" s="278"/>
      <c r="J21" s="278"/>
      <c r="K21" s="278"/>
      <c r="L21" s="278"/>
      <c r="M21" s="278"/>
      <c r="N21" s="278"/>
      <c r="O21" s="278"/>
      <c r="P21" s="278"/>
      <c r="Q21" s="278"/>
      <c r="R21" s="278"/>
      <c r="S21" s="279"/>
      <c r="T21" s="280">
        <f t="shared" si="1"/>
        <v>0</v>
      </c>
    </row>
    <row r="22" spans="1:20" ht="33.75" customHeight="1">
      <c r="A22" s="9">
        <v>12</v>
      </c>
      <c r="B22" s="13" t="s">
        <v>131</v>
      </c>
      <c r="C22" s="282">
        <v>160.20255500000002</v>
      </c>
      <c r="D22" s="282">
        <v>160.20255500000002</v>
      </c>
      <c r="E22" s="278"/>
      <c r="F22" s="278"/>
      <c r="G22" s="278"/>
      <c r="H22" s="278"/>
      <c r="I22" s="278"/>
      <c r="J22" s="278"/>
      <c r="K22" s="278"/>
      <c r="L22" s="278"/>
      <c r="M22" s="278"/>
      <c r="N22" s="282">
        <v>160.20255500000002</v>
      </c>
      <c r="O22" s="278"/>
      <c r="P22" s="282">
        <v>160.20255500000002</v>
      </c>
      <c r="Q22" s="278"/>
      <c r="R22" s="278"/>
      <c r="S22" s="279"/>
      <c r="T22" s="280">
        <f t="shared" si="1"/>
        <v>100</v>
      </c>
    </row>
    <row r="23" spans="1:20" ht="33.75" customHeight="1">
      <c r="A23" s="9">
        <v>13</v>
      </c>
      <c r="B23" s="14" t="s">
        <v>132</v>
      </c>
      <c r="C23" s="278">
        <v>1083.9780000000001</v>
      </c>
      <c r="D23" s="278">
        <v>889.44650000000001</v>
      </c>
      <c r="E23" s="278"/>
      <c r="F23" s="278"/>
      <c r="G23" s="278"/>
      <c r="H23" s="278"/>
      <c r="I23" s="278"/>
      <c r="J23" s="278"/>
      <c r="K23" s="278"/>
      <c r="L23" s="278"/>
      <c r="M23" s="278"/>
      <c r="N23" s="278">
        <v>889.44650000000001</v>
      </c>
      <c r="O23" s="278"/>
      <c r="P23" s="278">
        <v>889.44650000000001</v>
      </c>
      <c r="Q23" s="278"/>
      <c r="R23" s="278"/>
      <c r="S23" s="279"/>
      <c r="T23" s="280">
        <f t="shared" si="1"/>
        <v>82.053925448671464</v>
      </c>
    </row>
    <row r="24" spans="1:20" ht="33.75" customHeight="1">
      <c r="A24" s="9">
        <v>14</v>
      </c>
      <c r="B24" s="13" t="s">
        <v>133</v>
      </c>
      <c r="C24" s="282">
        <f>303.4545+244.1195</f>
        <v>547.57399999999996</v>
      </c>
      <c r="D24" s="278">
        <f>238.4689+244.1195</f>
        <v>482.58839999999998</v>
      </c>
      <c r="E24" s="278"/>
      <c r="F24" s="278"/>
      <c r="G24" s="278"/>
      <c r="H24" s="278"/>
      <c r="I24" s="278"/>
      <c r="J24" s="278"/>
      <c r="K24" s="278"/>
      <c r="L24" s="278"/>
      <c r="M24" s="278"/>
      <c r="N24" s="278">
        <f>238.4689+244.1195</f>
        <v>482.58839999999998</v>
      </c>
      <c r="O24" s="278"/>
      <c r="P24" s="278">
        <f>238.4689+244.1195</f>
        <v>482.58839999999998</v>
      </c>
      <c r="Q24" s="278"/>
      <c r="R24" s="278"/>
      <c r="S24" s="279"/>
      <c r="T24" s="280">
        <f t="shared" si="1"/>
        <v>88.132088083071878</v>
      </c>
    </row>
    <row r="25" spans="1:20" ht="33.75" customHeight="1">
      <c r="A25" s="9">
        <v>15</v>
      </c>
      <c r="B25" s="13" t="s">
        <v>134</v>
      </c>
      <c r="C25" s="278">
        <f>754.394+587.266</f>
        <v>1341.6599999999999</v>
      </c>
      <c r="D25" s="281">
        <v>70.555228</v>
      </c>
      <c r="E25" s="278"/>
      <c r="F25" s="278"/>
      <c r="G25" s="278"/>
      <c r="H25" s="278"/>
      <c r="I25" s="278"/>
      <c r="J25" s="278"/>
      <c r="K25" s="278"/>
      <c r="L25" s="278"/>
      <c r="M25" s="278"/>
      <c r="N25" s="281">
        <v>70.555228</v>
      </c>
      <c r="O25" s="278"/>
      <c r="P25" s="281">
        <v>70.555228</v>
      </c>
      <c r="Q25" s="278"/>
      <c r="R25" s="278"/>
      <c r="S25" s="279"/>
      <c r="T25" s="280">
        <f t="shared" si="1"/>
        <v>5.2588008884516206</v>
      </c>
    </row>
    <row r="26" spans="1:20" ht="33.75" customHeight="1">
      <c r="A26" s="9">
        <v>16</v>
      </c>
      <c r="B26" s="13" t="s">
        <v>135</v>
      </c>
      <c r="C26" s="282">
        <f>329.2114+6</f>
        <v>335.21140000000003</v>
      </c>
      <c r="D26" s="278">
        <v>329.21140000000003</v>
      </c>
      <c r="E26" s="278"/>
      <c r="F26" s="278"/>
      <c r="G26" s="278"/>
      <c r="H26" s="278"/>
      <c r="I26" s="278"/>
      <c r="J26" s="278"/>
      <c r="K26" s="278"/>
      <c r="L26" s="278"/>
      <c r="M26" s="278"/>
      <c r="N26" s="278">
        <v>329.21140000000003</v>
      </c>
      <c r="O26" s="278"/>
      <c r="P26" s="278">
        <v>329.21140000000003</v>
      </c>
      <c r="Q26" s="278"/>
      <c r="R26" s="278"/>
      <c r="S26" s="279"/>
      <c r="T26" s="280">
        <f t="shared" si="1"/>
        <v>98.210084740554777</v>
      </c>
    </row>
    <row r="27" spans="1:20" ht="33.75" customHeight="1">
      <c r="A27" s="9">
        <v>17</v>
      </c>
      <c r="B27" s="13" t="s">
        <v>136</v>
      </c>
      <c r="C27" s="278">
        <f>773.5366+227.7047</f>
        <v>1001.2413</v>
      </c>
      <c r="D27" s="278">
        <f>379.862877+227.7047</f>
        <v>607.56757700000003</v>
      </c>
      <c r="E27" s="278"/>
      <c r="F27" s="278"/>
      <c r="G27" s="278"/>
      <c r="H27" s="278"/>
      <c r="I27" s="278"/>
      <c r="J27" s="278"/>
      <c r="K27" s="278"/>
      <c r="L27" s="278"/>
      <c r="M27" s="278"/>
      <c r="N27" s="278">
        <f>379.862877+227.7047</f>
        <v>607.56757700000003</v>
      </c>
      <c r="O27" s="278"/>
      <c r="P27" s="278">
        <f>379.862877+227.7047</f>
        <v>607.56757700000003</v>
      </c>
      <c r="Q27" s="278"/>
      <c r="R27" s="278"/>
      <c r="S27" s="279"/>
      <c r="T27" s="280">
        <f t="shared" si="1"/>
        <v>60.681433836179153</v>
      </c>
    </row>
    <row r="28" spans="1:20" ht="33.75" customHeight="1">
      <c r="A28" s="9">
        <v>18</v>
      </c>
      <c r="B28" s="14" t="s">
        <v>137</v>
      </c>
      <c r="C28" s="278">
        <v>438.02800000000002</v>
      </c>
      <c r="D28" s="278">
        <v>427.98099999999999</v>
      </c>
      <c r="E28" s="278"/>
      <c r="F28" s="278"/>
      <c r="G28" s="278"/>
      <c r="H28" s="278"/>
      <c r="I28" s="278"/>
      <c r="J28" s="278"/>
      <c r="K28" s="278"/>
      <c r="L28" s="278"/>
      <c r="M28" s="278"/>
      <c r="N28" s="278">
        <v>427.98099999999999</v>
      </c>
      <c r="O28" s="278"/>
      <c r="P28" s="278">
        <v>427.98099999999999</v>
      </c>
      <c r="Q28" s="278"/>
      <c r="R28" s="278"/>
      <c r="S28" s="279"/>
      <c r="T28" s="280">
        <f t="shared" si="1"/>
        <v>97.706311012081414</v>
      </c>
    </row>
    <row r="29" spans="1:20" ht="33.75" customHeight="1">
      <c r="A29" s="9">
        <v>19</v>
      </c>
      <c r="B29" s="13" t="s">
        <v>138</v>
      </c>
      <c r="C29" s="282">
        <f>1676+224</f>
        <v>1900</v>
      </c>
      <c r="D29" s="278">
        <f>1336.7128+224</f>
        <v>1560.7128</v>
      </c>
      <c r="E29" s="278"/>
      <c r="F29" s="278"/>
      <c r="G29" s="278"/>
      <c r="H29" s="278"/>
      <c r="I29" s="278"/>
      <c r="J29" s="278"/>
      <c r="K29" s="278"/>
      <c r="L29" s="278"/>
      <c r="M29" s="278"/>
      <c r="N29" s="278">
        <f>1336.7128+224</f>
        <v>1560.7128</v>
      </c>
      <c r="O29" s="278"/>
      <c r="P29" s="278">
        <f>1336.7128+224</f>
        <v>1560.7128</v>
      </c>
      <c r="Q29" s="278"/>
      <c r="R29" s="278"/>
      <c r="S29" s="279"/>
      <c r="T29" s="280">
        <f t="shared" si="1"/>
        <v>82.142778947368427</v>
      </c>
    </row>
    <row r="30" spans="1:20" ht="33.75" customHeight="1">
      <c r="A30" s="9">
        <v>20</v>
      </c>
      <c r="B30" s="14" t="s">
        <v>139</v>
      </c>
      <c r="C30" s="278">
        <v>613.6</v>
      </c>
      <c r="D30" s="278">
        <v>301.63850000000002</v>
      </c>
      <c r="E30" s="278"/>
      <c r="F30" s="278"/>
      <c r="G30" s="278"/>
      <c r="H30" s="278"/>
      <c r="I30" s="278"/>
      <c r="J30" s="278"/>
      <c r="K30" s="278"/>
      <c r="L30" s="278"/>
      <c r="M30" s="278"/>
      <c r="N30" s="278">
        <v>301.63850000000002</v>
      </c>
      <c r="O30" s="278"/>
      <c r="P30" s="278">
        <v>301.63850000000002</v>
      </c>
      <c r="Q30" s="278"/>
      <c r="R30" s="278"/>
      <c r="S30" s="279"/>
      <c r="T30" s="280">
        <f t="shared" si="1"/>
        <v>49.158816818774447</v>
      </c>
    </row>
    <row r="31" spans="1:20" ht="33.75" customHeight="1">
      <c r="A31" s="9">
        <v>21</v>
      </c>
      <c r="B31" s="14" t="s">
        <v>140</v>
      </c>
      <c r="C31" s="278">
        <v>304.60000000000002</v>
      </c>
      <c r="D31" s="278">
        <v>0</v>
      </c>
      <c r="E31" s="278"/>
      <c r="F31" s="278"/>
      <c r="G31" s="278"/>
      <c r="H31" s="278"/>
      <c r="I31" s="278"/>
      <c r="J31" s="278"/>
      <c r="K31" s="278"/>
      <c r="L31" s="278"/>
      <c r="M31" s="278"/>
      <c r="N31" s="278"/>
      <c r="O31" s="278"/>
      <c r="P31" s="278"/>
      <c r="Q31" s="278"/>
      <c r="R31" s="278"/>
      <c r="S31" s="279"/>
      <c r="T31" s="280">
        <f t="shared" si="1"/>
        <v>0</v>
      </c>
    </row>
    <row r="32" spans="1:20" ht="33.75" customHeight="1">
      <c r="A32" s="9">
        <v>22</v>
      </c>
      <c r="B32" s="14" t="s">
        <v>141</v>
      </c>
      <c r="C32" s="278">
        <v>216.97807000000012</v>
      </c>
      <c r="D32" s="278">
        <v>0</v>
      </c>
      <c r="E32" s="278"/>
      <c r="F32" s="278"/>
      <c r="G32" s="278"/>
      <c r="H32" s="278"/>
      <c r="I32" s="278"/>
      <c r="J32" s="278"/>
      <c r="K32" s="278"/>
      <c r="L32" s="278"/>
      <c r="M32" s="278"/>
      <c r="N32" s="278"/>
      <c r="O32" s="278"/>
      <c r="P32" s="278"/>
      <c r="Q32" s="278"/>
      <c r="R32" s="278"/>
      <c r="S32" s="279"/>
      <c r="T32" s="280">
        <f t="shared" si="1"/>
        <v>0</v>
      </c>
    </row>
    <row r="33" spans="1:20" ht="33.75" customHeight="1">
      <c r="A33" s="9">
        <v>23</v>
      </c>
      <c r="B33" s="14" t="s">
        <v>142</v>
      </c>
      <c r="C33" s="278">
        <f>1971.815+40</f>
        <v>2011.8150000000001</v>
      </c>
      <c r="D33" s="281">
        <f>267.46+40</f>
        <v>307.45999999999998</v>
      </c>
      <c r="E33" s="278"/>
      <c r="F33" s="278"/>
      <c r="G33" s="278"/>
      <c r="H33" s="278"/>
      <c r="I33" s="278"/>
      <c r="J33" s="278"/>
      <c r="K33" s="278"/>
      <c r="L33" s="278"/>
      <c r="M33" s="278"/>
      <c r="N33" s="281">
        <f>267.46+40</f>
        <v>307.45999999999998</v>
      </c>
      <c r="O33" s="278"/>
      <c r="P33" s="281">
        <f>267.46+40</f>
        <v>307.45999999999998</v>
      </c>
      <c r="Q33" s="278"/>
      <c r="R33" s="278"/>
      <c r="S33" s="279"/>
      <c r="T33" s="280">
        <f t="shared" si="1"/>
        <v>15.282717347270996</v>
      </c>
    </row>
    <row r="34" spans="1:20" ht="33.75" customHeight="1">
      <c r="A34" s="9">
        <v>24</v>
      </c>
      <c r="B34" s="14" t="s">
        <v>143</v>
      </c>
      <c r="C34" s="278">
        <v>421.37659999999994</v>
      </c>
      <c r="D34" s="281">
        <v>0</v>
      </c>
      <c r="E34" s="278"/>
      <c r="F34" s="278"/>
      <c r="G34" s="278"/>
      <c r="H34" s="278"/>
      <c r="I34" s="278"/>
      <c r="J34" s="278"/>
      <c r="K34" s="278"/>
      <c r="L34" s="278"/>
      <c r="M34" s="278"/>
      <c r="N34" s="278"/>
      <c r="O34" s="278"/>
      <c r="P34" s="278"/>
      <c r="Q34" s="278"/>
      <c r="R34" s="278"/>
      <c r="S34" s="279"/>
      <c r="T34" s="280">
        <f t="shared" si="1"/>
        <v>0</v>
      </c>
    </row>
    <row r="35" spans="1:20" ht="33.75" customHeight="1">
      <c r="A35" s="9">
        <v>25</v>
      </c>
      <c r="B35" s="14" t="s">
        <v>144</v>
      </c>
      <c r="C35" s="278">
        <v>1.9500000000000455</v>
      </c>
      <c r="D35" s="278">
        <v>0</v>
      </c>
      <c r="E35" s="278"/>
      <c r="F35" s="278"/>
      <c r="G35" s="278"/>
      <c r="H35" s="278"/>
      <c r="I35" s="278"/>
      <c r="J35" s="278"/>
      <c r="K35" s="278"/>
      <c r="L35" s="278"/>
      <c r="M35" s="278"/>
      <c r="N35" s="278"/>
      <c r="O35" s="278"/>
      <c r="P35" s="278"/>
      <c r="Q35" s="278"/>
      <c r="R35" s="278"/>
      <c r="S35" s="279"/>
      <c r="T35" s="280">
        <f t="shared" si="1"/>
        <v>0</v>
      </c>
    </row>
    <row r="36" spans="1:20" ht="33.75" customHeight="1">
      <c r="A36" s="9">
        <v>26</v>
      </c>
      <c r="B36" s="15" t="s">
        <v>145</v>
      </c>
      <c r="C36" s="278">
        <v>403.75200000000001</v>
      </c>
      <c r="D36" s="282">
        <v>0</v>
      </c>
      <c r="E36" s="278"/>
      <c r="F36" s="278"/>
      <c r="G36" s="278"/>
      <c r="H36" s="278"/>
      <c r="I36" s="278"/>
      <c r="J36" s="278"/>
      <c r="K36" s="278"/>
      <c r="L36" s="278"/>
      <c r="M36" s="278"/>
      <c r="N36" s="278"/>
      <c r="O36" s="278"/>
      <c r="P36" s="278"/>
      <c r="Q36" s="278"/>
      <c r="R36" s="278"/>
      <c r="S36" s="279"/>
      <c r="T36" s="280">
        <f t="shared" si="1"/>
        <v>0</v>
      </c>
    </row>
    <row r="37" spans="1:20" ht="25.5">
      <c r="A37" s="9">
        <v>27</v>
      </c>
      <c r="B37" s="14" t="s">
        <v>146</v>
      </c>
      <c r="C37" s="278">
        <v>94.50001199999997</v>
      </c>
      <c r="D37" s="278">
        <v>0</v>
      </c>
      <c r="E37" s="278"/>
      <c r="F37" s="278"/>
      <c r="G37" s="278"/>
      <c r="H37" s="278"/>
      <c r="I37" s="278"/>
      <c r="J37" s="278"/>
      <c r="K37" s="278"/>
      <c r="L37" s="278"/>
      <c r="M37" s="278"/>
      <c r="N37" s="278"/>
      <c r="O37" s="278"/>
      <c r="P37" s="278"/>
      <c r="Q37" s="278"/>
      <c r="R37" s="278"/>
      <c r="S37" s="279"/>
      <c r="T37" s="280">
        <f t="shared" si="1"/>
        <v>0</v>
      </c>
    </row>
    <row r="38" spans="1:20" ht="33" customHeight="1">
      <c r="A38" s="9">
        <v>28</v>
      </c>
      <c r="B38" s="11" t="s">
        <v>158</v>
      </c>
      <c r="C38" s="278">
        <v>73.721500000000006</v>
      </c>
      <c r="D38" s="278"/>
      <c r="E38" s="278"/>
      <c r="F38" s="278"/>
      <c r="G38" s="278"/>
      <c r="H38" s="278"/>
      <c r="I38" s="278"/>
      <c r="J38" s="278"/>
      <c r="K38" s="278"/>
      <c r="L38" s="278"/>
      <c r="M38" s="278"/>
      <c r="N38" s="278"/>
      <c r="O38" s="278"/>
      <c r="P38" s="278"/>
      <c r="Q38" s="278"/>
      <c r="R38" s="278"/>
      <c r="S38" s="279"/>
      <c r="T38" s="280">
        <f>D38/C38*100</f>
        <v>0</v>
      </c>
    </row>
    <row r="39" spans="1:20" ht="27" customHeight="1">
      <c r="A39" s="9">
        <v>29</v>
      </c>
      <c r="B39" s="11" t="s">
        <v>147</v>
      </c>
      <c r="C39" s="278">
        <v>1400</v>
      </c>
      <c r="D39" s="278">
        <v>1357.7075</v>
      </c>
      <c r="E39" s="278"/>
      <c r="F39" s="278"/>
      <c r="G39" s="278"/>
      <c r="H39" s="278"/>
      <c r="I39" s="278"/>
      <c r="J39" s="278"/>
      <c r="K39" s="278"/>
      <c r="L39" s="278"/>
      <c r="M39" s="278"/>
      <c r="N39" s="278">
        <v>1357.7075</v>
      </c>
      <c r="O39" s="278"/>
      <c r="P39" s="278"/>
      <c r="Q39" s="278"/>
      <c r="R39" s="278"/>
      <c r="S39" s="279"/>
      <c r="T39" s="280">
        <f t="shared" si="1"/>
        <v>96.979107142857146</v>
      </c>
    </row>
    <row r="40" spans="1:20" ht="27" customHeight="1">
      <c r="A40" s="9">
        <v>30</v>
      </c>
      <c r="B40" s="72" t="s">
        <v>148</v>
      </c>
      <c r="C40" s="278">
        <f>29475.625736+4774.248+1</f>
        <v>34250.873736000001</v>
      </c>
      <c r="D40" s="278">
        <f>27967.773736+4734.974+1</f>
        <v>32703.747735999998</v>
      </c>
      <c r="E40" s="278"/>
      <c r="F40" s="278"/>
      <c r="G40" s="278">
        <v>8977.3259999999991</v>
      </c>
      <c r="H40" s="278"/>
      <c r="I40" s="278">
        <v>68.944999999999993</v>
      </c>
      <c r="J40" s="278">
        <v>300</v>
      </c>
      <c r="K40" s="278"/>
      <c r="L40" s="278"/>
      <c r="M40" s="278"/>
      <c r="N40" s="278">
        <f>22301.014+1</f>
        <v>22302.013999999999</v>
      </c>
      <c r="O40" s="278"/>
      <c r="P40" s="278"/>
      <c r="Q40" s="278">
        <v>1055.4627359999999</v>
      </c>
      <c r="R40" s="278"/>
      <c r="S40" s="279"/>
      <c r="T40" s="280">
        <f t="shared" si="1"/>
        <v>95.482959027775493</v>
      </c>
    </row>
    <row r="41" spans="1:20" ht="29.25" customHeight="1">
      <c r="A41" s="9">
        <v>31</v>
      </c>
      <c r="B41" s="11" t="s">
        <v>149</v>
      </c>
      <c r="C41" s="281">
        <v>700</v>
      </c>
      <c r="D41" s="281">
        <v>700</v>
      </c>
      <c r="E41" s="278"/>
      <c r="F41" s="278"/>
      <c r="G41" s="278"/>
      <c r="H41" s="278"/>
      <c r="I41" s="278"/>
      <c r="J41" s="278"/>
      <c r="K41" s="278"/>
      <c r="L41" s="278"/>
      <c r="M41" s="278"/>
      <c r="N41" s="278"/>
      <c r="O41" s="278"/>
      <c r="P41" s="278"/>
      <c r="Q41" s="281">
        <v>700</v>
      </c>
      <c r="R41" s="278"/>
      <c r="S41" s="279"/>
      <c r="T41" s="280">
        <f t="shared" si="1"/>
        <v>100</v>
      </c>
    </row>
    <row r="42" spans="1:20" ht="29.25" customHeight="1">
      <c r="A42" s="9">
        <v>32</v>
      </c>
      <c r="B42" s="11" t="s">
        <v>150</v>
      </c>
      <c r="C42" s="278">
        <f>34323.25165+13305.852501+3216</f>
        <v>50845.104151</v>
      </c>
      <c r="D42" s="278">
        <f>SUM(E42:S42)-O42-P42</f>
        <v>46395.058321999997</v>
      </c>
      <c r="E42" s="278"/>
      <c r="F42" s="278"/>
      <c r="G42" s="278">
        <f>34020.86165+9158.196672+3216</f>
        <v>46395.058321999997</v>
      </c>
      <c r="H42" s="278"/>
      <c r="I42" s="278"/>
      <c r="J42" s="278"/>
      <c r="K42" s="278"/>
      <c r="L42" s="278"/>
      <c r="M42" s="278"/>
      <c r="N42" s="278"/>
      <c r="O42" s="278"/>
      <c r="P42" s="278"/>
      <c r="Q42" s="278"/>
      <c r="R42" s="278"/>
      <c r="S42" s="279"/>
      <c r="T42" s="280">
        <f t="shared" si="1"/>
        <v>91.247838108888047</v>
      </c>
    </row>
    <row r="43" spans="1:20" ht="33.75" customHeight="1">
      <c r="A43" s="9">
        <v>33</v>
      </c>
      <c r="B43" s="11" t="s">
        <v>128</v>
      </c>
      <c r="C43" s="281">
        <v>442.42099999999999</v>
      </c>
      <c r="D43" s="278">
        <v>442.42099999999999</v>
      </c>
      <c r="E43" s="278"/>
      <c r="F43" s="278"/>
      <c r="G43" s="278"/>
      <c r="H43" s="278"/>
      <c r="I43" s="278"/>
      <c r="J43" s="278"/>
      <c r="K43" s="278"/>
      <c r="L43" s="278"/>
      <c r="M43" s="278"/>
      <c r="N43" s="278"/>
      <c r="O43" s="278"/>
      <c r="P43" s="278"/>
      <c r="Q43" s="278">
        <v>442.42099999999999</v>
      </c>
      <c r="R43" s="278"/>
      <c r="S43" s="279"/>
      <c r="T43" s="280">
        <f>D43/C43*100</f>
        <v>100</v>
      </c>
    </row>
    <row r="44" spans="1:20" ht="29.25" customHeight="1">
      <c r="A44" s="9">
        <v>34</v>
      </c>
      <c r="B44" s="14" t="s">
        <v>151</v>
      </c>
      <c r="C44" s="278">
        <f>2132+29.35</f>
        <v>2161.35</v>
      </c>
      <c r="D44" s="278">
        <f>2098.206</f>
        <v>2098.2060000000001</v>
      </c>
      <c r="E44" s="278"/>
      <c r="F44" s="278"/>
      <c r="G44" s="278"/>
      <c r="H44" s="278"/>
      <c r="I44" s="278">
        <f>2098.206</f>
        <v>2098.2060000000001</v>
      </c>
      <c r="J44" s="278"/>
      <c r="K44" s="278"/>
      <c r="L44" s="278"/>
      <c r="M44" s="278"/>
      <c r="N44" s="278"/>
      <c r="O44" s="278"/>
      <c r="P44" s="278"/>
      <c r="Q44" s="278"/>
      <c r="R44" s="278"/>
      <c r="S44" s="279"/>
      <c r="T44" s="280">
        <f t="shared" si="1"/>
        <v>97.078492608786178</v>
      </c>
    </row>
    <row r="45" spans="1:20" ht="33" customHeight="1">
      <c r="A45" s="9">
        <v>35</v>
      </c>
      <c r="B45" s="11" t="s">
        <v>159</v>
      </c>
      <c r="C45" s="278">
        <v>220.42187999999999</v>
      </c>
      <c r="D45" s="278">
        <v>0</v>
      </c>
      <c r="E45" s="278"/>
      <c r="F45" s="278"/>
      <c r="G45" s="278"/>
      <c r="H45" s="278"/>
      <c r="I45" s="278"/>
      <c r="J45" s="278"/>
      <c r="K45" s="278"/>
      <c r="L45" s="278"/>
      <c r="M45" s="278"/>
      <c r="N45" s="278"/>
      <c r="O45" s="278"/>
      <c r="P45" s="278"/>
      <c r="Q45" s="278"/>
      <c r="R45" s="278"/>
      <c r="S45" s="279"/>
      <c r="T45" s="280">
        <f t="shared" si="1"/>
        <v>0</v>
      </c>
    </row>
    <row r="46" spans="1:20" ht="25.5" customHeight="1">
      <c r="A46" s="9">
        <v>36</v>
      </c>
      <c r="B46" s="11" t="s">
        <v>1429</v>
      </c>
      <c r="C46" s="281">
        <v>1300</v>
      </c>
      <c r="D46" s="281">
        <v>1300</v>
      </c>
      <c r="E46" s="278"/>
      <c r="F46" s="278"/>
      <c r="G46" s="278"/>
      <c r="H46" s="278"/>
      <c r="I46" s="278"/>
      <c r="J46" s="278"/>
      <c r="K46" s="278"/>
      <c r="L46" s="278"/>
      <c r="M46" s="278"/>
      <c r="N46" s="281">
        <v>1300</v>
      </c>
      <c r="O46" s="278"/>
      <c r="P46" s="278"/>
      <c r="Q46" s="278"/>
      <c r="R46" s="278"/>
      <c r="S46" s="279"/>
      <c r="T46" s="280">
        <f>D46/C46*100</f>
        <v>100</v>
      </c>
    </row>
    <row r="47" spans="1:20" ht="25.5" customHeight="1">
      <c r="A47" s="9">
        <v>37</v>
      </c>
      <c r="B47" s="12" t="s">
        <v>107</v>
      </c>
      <c r="C47" s="278">
        <f>17428.5762+300</f>
        <v>17728.5762</v>
      </c>
      <c r="D47" s="278">
        <f>17397.060025+300</f>
        <v>17697.060024999999</v>
      </c>
      <c r="E47" s="278"/>
      <c r="F47" s="278"/>
      <c r="G47" s="278"/>
      <c r="H47" s="278"/>
      <c r="I47" s="278"/>
      <c r="J47" s="278"/>
      <c r="K47" s="278"/>
      <c r="L47" s="278"/>
      <c r="M47" s="278"/>
      <c r="N47" s="278">
        <f>17397.060025+300</f>
        <v>17697.060024999999</v>
      </c>
      <c r="O47" s="278"/>
      <c r="P47" s="278"/>
      <c r="Q47" s="278"/>
      <c r="R47" s="278"/>
      <c r="S47" s="279"/>
      <c r="T47" s="280">
        <f>D47/C47*100</f>
        <v>99.822229520044587</v>
      </c>
    </row>
    <row r="48" spans="1:20" ht="35.25" customHeight="1">
      <c r="A48" s="9">
        <v>38</v>
      </c>
      <c r="B48" s="11" t="s">
        <v>160</v>
      </c>
      <c r="C48" s="278">
        <v>2667.4551999999999</v>
      </c>
      <c r="D48" s="278">
        <v>0</v>
      </c>
      <c r="E48" s="278"/>
      <c r="F48" s="278"/>
      <c r="G48" s="278"/>
      <c r="H48" s="278"/>
      <c r="I48" s="278"/>
      <c r="J48" s="278"/>
      <c r="K48" s="278"/>
      <c r="L48" s="278"/>
      <c r="M48" s="278"/>
      <c r="N48" s="278"/>
      <c r="O48" s="278"/>
      <c r="P48" s="278"/>
      <c r="Q48" s="278"/>
      <c r="R48" s="278"/>
      <c r="S48" s="279"/>
      <c r="T48" s="280">
        <f t="shared" si="1"/>
        <v>0</v>
      </c>
    </row>
    <row r="49" spans="1:20" ht="35.25" customHeight="1">
      <c r="A49" s="9">
        <v>39</v>
      </c>
      <c r="B49" s="11" t="s">
        <v>109</v>
      </c>
      <c r="C49" s="278">
        <f>15123.884+542.839</f>
        <v>15666.723</v>
      </c>
      <c r="D49" s="278">
        <f>8023.664+542.839</f>
        <v>8566.5030000000006</v>
      </c>
      <c r="E49" s="278"/>
      <c r="F49" s="278"/>
      <c r="G49" s="278"/>
      <c r="H49" s="278">
        <v>4982.723</v>
      </c>
      <c r="I49" s="278"/>
      <c r="J49" s="278"/>
      <c r="K49" s="278"/>
      <c r="L49" s="278"/>
      <c r="M49" s="278"/>
      <c r="N49" s="278">
        <v>3583.78</v>
      </c>
      <c r="O49" s="278"/>
      <c r="P49" s="278"/>
      <c r="Q49" s="278"/>
      <c r="R49" s="278"/>
      <c r="S49" s="279"/>
      <c r="T49" s="280">
        <f t="shared" si="1"/>
        <v>54.679609769062751</v>
      </c>
    </row>
    <row r="50" spans="1:20" ht="20.25" customHeight="1">
      <c r="A50" s="9">
        <v>40</v>
      </c>
      <c r="B50" s="11" t="s">
        <v>171</v>
      </c>
      <c r="C50" s="281">
        <f>3500+1000</f>
        <v>4500</v>
      </c>
      <c r="D50" s="281">
        <v>4500</v>
      </c>
      <c r="E50" s="278"/>
      <c r="F50" s="278"/>
      <c r="G50" s="278"/>
      <c r="H50" s="278"/>
      <c r="I50" s="278"/>
      <c r="J50" s="278"/>
      <c r="K50" s="281">
        <v>4500</v>
      </c>
      <c r="L50" s="278"/>
      <c r="M50" s="278"/>
      <c r="N50" s="278"/>
      <c r="O50" s="278"/>
      <c r="P50" s="278"/>
      <c r="Q50" s="278"/>
      <c r="R50" s="278"/>
      <c r="S50" s="279"/>
      <c r="T50" s="280">
        <f t="shared" si="1"/>
        <v>100</v>
      </c>
    </row>
    <row r="51" spans="1:20" ht="20.25" customHeight="1">
      <c r="A51" s="9">
        <v>41</v>
      </c>
      <c r="B51" s="14" t="s">
        <v>172</v>
      </c>
      <c r="C51" s="282">
        <v>281</v>
      </c>
      <c r="D51" s="281">
        <v>274.77499999999998</v>
      </c>
      <c r="E51" s="278"/>
      <c r="F51" s="278"/>
      <c r="G51" s="278"/>
      <c r="H51" s="278"/>
      <c r="I51" s="278"/>
      <c r="J51" s="278"/>
      <c r="K51" s="278"/>
      <c r="L51" s="278"/>
      <c r="M51" s="278"/>
      <c r="N51" s="281">
        <v>274.77499999999998</v>
      </c>
      <c r="O51" s="278"/>
      <c r="P51" s="278"/>
      <c r="Q51" s="278"/>
      <c r="R51" s="278"/>
      <c r="S51" s="279"/>
      <c r="T51" s="280">
        <f t="shared" si="1"/>
        <v>97.784697508896784</v>
      </c>
    </row>
    <row r="52" spans="1:20" ht="20.25" customHeight="1">
      <c r="A52" s="9">
        <v>42</v>
      </c>
      <c r="B52" s="13" t="s">
        <v>173</v>
      </c>
      <c r="C52" s="282">
        <f>670+205.285432</f>
        <v>875.28543200000001</v>
      </c>
      <c r="D52" s="278">
        <f>670+205.285432</f>
        <v>875.28543200000001</v>
      </c>
      <c r="E52" s="278"/>
      <c r="F52" s="278"/>
      <c r="G52" s="278"/>
      <c r="H52" s="278"/>
      <c r="I52" s="278"/>
      <c r="J52" s="278"/>
      <c r="K52" s="278"/>
      <c r="L52" s="278"/>
      <c r="M52" s="278"/>
      <c r="N52" s="278">
        <f>670+205.285432</f>
        <v>875.28543200000001</v>
      </c>
      <c r="O52" s="278"/>
      <c r="P52" s="278"/>
      <c r="Q52" s="278"/>
      <c r="R52" s="278"/>
      <c r="S52" s="279"/>
      <c r="T52" s="280">
        <f t="shared" si="1"/>
        <v>100</v>
      </c>
    </row>
    <row r="53" spans="1:20" ht="22.5" customHeight="1">
      <c r="A53" s="9">
        <v>43</v>
      </c>
      <c r="B53" s="17" t="s">
        <v>174</v>
      </c>
      <c r="C53" s="278">
        <f>60184.705+3.054001</f>
        <v>60187.759000999999</v>
      </c>
      <c r="D53" s="278">
        <v>60184.705000000002</v>
      </c>
      <c r="E53" s="278"/>
      <c r="F53" s="278"/>
      <c r="G53" s="278">
        <v>60184.705000000002</v>
      </c>
      <c r="H53" s="278"/>
      <c r="I53" s="278"/>
      <c r="J53" s="278"/>
      <c r="K53" s="278"/>
      <c r="L53" s="278"/>
      <c r="M53" s="278"/>
      <c r="N53" s="278"/>
      <c r="O53" s="278"/>
      <c r="P53" s="278"/>
      <c r="Q53" s="278"/>
      <c r="R53" s="278"/>
      <c r="S53" s="279"/>
      <c r="T53" s="280">
        <f t="shared" si="1"/>
        <v>99.994925876871505</v>
      </c>
    </row>
    <row r="54" spans="1:20" ht="22.5" customHeight="1">
      <c r="A54" s="9">
        <v>44</v>
      </c>
      <c r="B54" s="11" t="s">
        <v>175</v>
      </c>
      <c r="C54" s="278">
        <f>46512.007+4957.354693+33638.913+2855.805</f>
        <v>87964.079692999992</v>
      </c>
      <c r="D54" s="278">
        <f>45362.735+3732.799761+20878.05205+2855.805</f>
        <v>72829.391810999994</v>
      </c>
      <c r="E54" s="278"/>
      <c r="F54" s="278"/>
      <c r="G54" s="278"/>
      <c r="H54" s="278"/>
      <c r="I54" s="278"/>
      <c r="J54" s="278"/>
      <c r="K54" s="278"/>
      <c r="L54" s="278"/>
      <c r="M54" s="278"/>
      <c r="N54" s="278">
        <v>72827.201811000006</v>
      </c>
      <c r="O54" s="278"/>
      <c r="P54" s="278"/>
      <c r="Q54" s="278">
        <v>2.19</v>
      </c>
      <c r="R54" s="278"/>
      <c r="S54" s="279"/>
      <c r="T54" s="280">
        <f t="shared" si="1"/>
        <v>82.794467997822537</v>
      </c>
    </row>
    <row r="55" spans="1:20" ht="22.5" customHeight="1">
      <c r="A55" s="9">
        <v>45</v>
      </c>
      <c r="B55" s="11" t="s">
        <v>1372</v>
      </c>
      <c r="C55" s="278">
        <f>61151.694928+17739.665</f>
        <v>78891.359927999991</v>
      </c>
      <c r="D55" s="278">
        <f>52860.072328+14587.857</f>
        <v>67447.929327999998</v>
      </c>
      <c r="E55" s="278">
        <v>66147.929327999998</v>
      </c>
      <c r="F55" s="278"/>
      <c r="G55" s="278"/>
      <c r="H55" s="278"/>
      <c r="I55" s="278"/>
      <c r="J55" s="278"/>
      <c r="K55" s="278"/>
      <c r="L55" s="278"/>
      <c r="M55" s="278"/>
      <c r="N55" s="278">
        <v>1300</v>
      </c>
      <c r="O55" s="278"/>
      <c r="P55" s="278"/>
      <c r="Q55" s="278"/>
      <c r="R55" s="278"/>
      <c r="S55" s="279"/>
      <c r="T55" s="280">
        <f t="shared" si="1"/>
        <v>85.494697251455904</v>
      </c>
    </row>
    <row r="56" spans="1:20" ht="22.5" customHeight="1">
      <c r="A56" s="9">
        <v>46</v>
      </c>
      <c r="B56" s="12" t="s">
        <v>177</v>
      </c>
      <c r="C56" s="278">
        <f>342589.698+159372.201702-2640.666+6535.2089+9739.970716</f>
        <v>515596.41331799998</v>
      </c>
      <c r="D56" s="278">
        <f>289045.970334+158667.543202-2569.229+5757.576562+6875.099</f>
        <v>457776.96009800001</v>
      </c>
      <c r="E56" s="278"/>
      <c r="F56" s="278"/>
      <c r="G56" s="278"/>
      <c r="H56" s="278"/>
      <c r="I56" s="278"/>
      <c r="J56" s="278"/>
      <c r="K56" s="278"/>
      <c r="L56" s="278"/>
      <c r="M56" s="278"/>
      <c r="N56" s="278">
        <f>289045.970334+158667.543202-2569.229+12632.675562</f>
        <v>457776.96009800007</v>
      </c>
      <c r="O56" s="278">
        <f>289045.970334+158667.543202-2569.229+12632.675562</f>
        <v>457776.96009800007</v>
      </c>
      <c r="P56" s="278"/>
      <c r="Q56" s="278"/>
      <c r="R56" s="278"/>
      <c r="S56" s="279"/>
      <c r="T56" s="280">
        <f t="shared" si="1"/>
        <v>88.7859085659816</v>
      </c>
    </row>
    <row r="57" spans="1:20" ht="22.5" customHeight="1">
      <c r="A57" s="9">
        <v>47</v>
      </c>
      <c r="B57" s="13" t="s">
        <v>178</v>
      </c>
      <c r="C57" s="278">
        <f>5700+1992.437</f>
        <v>7692.4369999999999</v>
      </c>
      <c r="D57" s="278">
        <f>4758+1406</f>
        <v>6164</v>
      </c>
      <c r="E57" s="278"/>
      <c r="F57" s="278"/>
      <c r="G57" s="278"/>
      <c r="H57" s="278"/>
      <c r="I57" s="278"/>
      <c r="J57" s="278"/>
      <c r="K57" s="278"/>
      <c r="L57" s="278"/>
      <c r="M57" s="278"/>
      <c r="N57" s="278"/>
      <c r="O57" s="278"/>
      <c r="P57" s="278"/>
      <c r="Q57" s="278">
        <f>4758+1406</f>
        <v>6164</v>
      </c>
      <c r="R57" s="278"/>
      <c r="S57" s="279"/>
      <c r="T57" s="280">
        <f t="shared" si="1"/>
        <v>80.130653003723012</v>
      </c>
    </row>
    <row r="58" spans="1:20" ht="22.5" customHeight="1">
      <c r="A58" s="9">
        <v>48</v>
      </c>
      <c r="B58" s="18" t="s">
        <v>179</v>
      </c>
      <c r="C58" s="278">
        <f>4497.986+3101.3355</f>
        <v>7599.3215</v>
      </c>
      <c r="D58" s="278">
        <f>4496.605+3061.5141</f>
        <v>7558.1190999999999</v>
      </c>
      <c r="E58" s="278"/>
      <c r="F58" s="278">
        <v>3061.5140999999999</v>
      </c>
      <c r="G58" s="278"/>
      <c r="H58" s="278"/>
      <c r="I58" s="278"/>
      <c r="J58" s="278"/>
      <c r="K58" s="278"/>
      <c r="L58" s="278"/>
      <c r="M58" s="278"/>
      <c r="N58" s="278">
        <v>4496.6049999999996</v>
      </c>
      <c r="O58" s="278"/>
      <c r="P58" s="278"/>
      <c r="Q58" s="278"/>
      <c r="R58" s="278"/>
      <c r="S58" s="279"/>
      <c r="T58" s="280">
        <f t="shared" si="1"/>
        <v>99.457814753593468</v>
      </c>
    </row>
    <row r="59" spans="1:20" ht="22.5" customHeight="1">
      <c r="A59" s="9">
        <v>49</v>
      </c>
      <c r="B59" s="11" t="s">
        <v>1430</v>
      </c>
      <c r="C59" s="278">
        <f>5350+4289.620054</f>
        <v>9639.6200539999991</v>
      </c>
      <c r="D59" s="278">
        <f>5287.858+4203</f>
        <v>9490.8580000000002</v>
      </c>
      <c r="E59" s="278">
        <v>1794.8579999999999</v>
      </c>
      <c r="F59" s="278"/>
      <c r="G59" s="278"/>
      <c r="H59" s="278"/>
      <c r="I59" s="278"/>
      <c r="J59" s="278"/>
      <c r="K59" s="278"/>
      <c r="L59" s="278"/>
      <c r="M59" s="278"/>
      <c r="N59" s="278">
        <v>2059</v>
      </c>
      <c r="O59" s="278"/>
      <c r="P59" s="278"/>
      <c r="Q59" s="278"/>
      <c r="R59" s="278">
        <v>5637</v>
      </c>
      <c r="S59" s="279"/>
      <c r="T59" s="280">
        <f t="shared" si="1"/>
        <v>98.456764341678905</v>
      </c>
    </row>
    <row r="60" spans="1:20" ht="33" customHeight="1">
      <c r="A60" s="9">
        <v>50</v>
      </c>
      <c r="B60" s="14" t="s">
        <v>169</v>
      </c>
      <c r="C60" s="282">
        <v>1500</v>
      </c>
      <c r="D60" s="281">
        <v>1500</v>
      </c>
      <c r="E60" s="278"/>
      <c r="F60" s="278"/>
      <c r="G60" s="278"/>
      <c r="H60" s="278"/>
      <c r="I60" s="278"/>
      <c r="J60" s="278"/>
      <c r="K60" s="278"/>
      <c r="L60" s="278"/>
      <c r="M60" s="278"/>
      <c r="N60" s="278"/>
      <c r="O60" s="278"/>
      <c r="P60" s="278"/>
      <c r="Q60" s="278"/>
      <c r="R60" s="278"/>
      <c r="S60" s="279"/>
      <c r="T60" s="280">
        <f>D60/C60*100</f>
        <v>100</v>
      </c>
    </row>
    <row r="61" spans="1:20" ht="33" customHeight="1">
      <c r="A61" s="9">
        <v>51</v>
      </c>
      <c r="B61" s="13" t="s">
        <v>1417</v>
      </c>
      <c r="C61" s="278">
        <v>2597.8090000000002</v>
      </c>
      <c r="D61" s="278">
        <v>2597.8090000000002</v>
      </c>
      <c r="E61" s="278"/>
      <c r="F61" s="278"/>
      <c r="G61" s="278"/>
      <c r="H61" s="278"/>
      <c r="I61" s="278"/>
      <c r="J61" s="278"/>
      <c r="K61" s="278"/>
      <c r="L61" s="278"/>
      <c r="M61" s="278"/>
      <c r="N61" s="278">
        <v>1000</v>
      </c>
      <c r="O61" s="278"/>
      <c r="P61" s="278"/>
      <c r="Q61" s="278"/>
      <c r="R61" s="278">
        <v>1597.809</v>
      </c>
      <c r="S61" s="279"/>
      <c r="T61" s="280">
        <f>D61/C61*100</f>
        <v>100</v>
      </c>
    </row>
    <row r="62" spans="1:20" ht="33.75" customHeight="1">
      <c r="A62" s="9">
        <v>52</v>
      </c>
      <c r="B62" s="18" t="s">
        <v>190</v>
      </c>
      <c r="C62" s="282">
        <v>850</v>
      </c>
      <c r="D62" s="281">
        <v>68.966499999999996</v>
      </c>
      <c r="E62" s="278"/>
      <c r="F62" s="278"/>
      <c r="G62" s="278"/>
      <c r="H62" s="278"/>
      <c r="I62" s="278"/>
      <c r="J62" s="278"/>
      <c r="K62" s="278"/>
      <c r="L62" s="278"/>
      <c r="M62" s="278"/>
      <c r="N62" s="281">
        <v>68.966499999999996</v>
      </c>
      <c r="O62" s="278"/>
      <c r="P62" s="278"/>
      <c r="Q62" s="278"/>
      <c r="R62" s="278"/>
      <c r="S62" s="279"/>
      <c r="T62" s="280">
        <f>D62/C62*100</f>
        <v>8.1137058823529404</v>
      </c>
    </row>
    <row r="63" spans="1:20" ht="22.5" customHeight="1">
      <c r="A63" s="9">
        <v>53</v>
      </c>
      <c r="B63" s="14" t="s">
        <v>182</v>
      </c>
      <c r="C63" s="282">
        <v>530</v>
      </c>
      <c r="D63" s="281">
        <v>433.96199999999999</v>
      </c>
      <c r="E63" s="278"/>
      <c r="F63" s="278"/>
      <c r="G63" s="278"/>
      <c r="H63" s="278"/>
      <c r="I63" s="278"/>
      <c r="J63" s="278"/>
      <c r="K63" s="278"/>
      <c r="L63" s="278"/>
      <c r="M63" s="278"/>
      <c r="N63" s="281">
        <v>433.96199999999999</v>
      </c>
      <c r="O63" s="278"/>
      <c r="P63" s="278"/>
      <c r="Q63" s="278"/>
      <c r="R63" s="278"/>
      <c r="S63" s="279"/>
      <c r="T63" s="280">
        <f t="shared" si="1"/>
        <v>81.879622641509428</v>
      </c>
    </row>
    <row r="64" spans="1:20" ht="22.5" customHeight="1">
      <c r="A64" s="9">
        <v>54</v>
      </c>
      <c r="B64" s="13" t="s">
        <v>183</v>
      </c>
      <c r="C64" s="278">
        <f>10808+6470</f>
        <v>17278</v>
      </c>
      <c r="D64" s="278">
        <f>4680.842+4450</f>
        <v>9130.8420000000006</v>
      </c>
      <c r="E64" s="278"/>
      <c r="F64" s="278"/>
      <c r="G64" s="278"/>
      <c r="H64" s="278"/>
      <c r="I64" s="278"/>
      <c r="J64" s="278">
        <v>500.73500000000001</v>
      </c>
      <c r="K64" s="278"/>
      <c r="L64" s="278"/>
      <c r="M64" s="278"/>
      <c r="N64" s="278">
        <v>8630.107</v>
      </c>
      <c r="O64" s="278"/>
      <c r="P64" s="278"/>
      <c r="Q64" s="278"/>
      <c r="R64" s="278"/>
      <c r="S64" s="279"/>
      <c r="T64" s="280">
        <f t="shared" si="1"/>
        <v>52.846637342284986</v>
      </c>
    </row>
    <row r="65" spans="1:20" ht="22.5" customHeight="1">
      <c r="A65" s="9">
        <v>55</v>
      </c>
      <c r="B65" s="12" t="s">
        <v>184</v>
      </c>
      <c r="C65" s="278">
        <f>8363.472+1388.128</f>
        <v>9751.6</v>
      </c>
      <c r="D65" s="278">
        <f>5998.89+1377.277</f>
        <v>7376.1670000000004</v>
      </c>
      <c r="E65" s="278"/>
      <c r="F65" s="278"/>
      <c r="G65" s="278"/>
      <c r="H65" s="278"/>
      <c r="I65" s="278"/>
      <c r="J65" s="278"/>
      <c r="K65" s="278"/>
      <c r="L65" s="278"/>
      <c r="M65" s="278">
        <v>130.70599999999999</v>
      </c>
      <c r="N65" s="278">
        <v>7245.4610000000002</v>
      </c>
      <c r="O65" s="278">
        <v>48.192</v>
      </c>
      <c r="P65" s="278"/>
      <c r="Q65" s="278"/>
      <c r="R65" s="278"/>
      <c r="S65" s="279"/>
      <c r="T65" s="280">
        <f t="shared" si="1"/>
        <v>75.640582058328889</v>
      </c>
    </row>
    <row r="66" spans="1:20" ht="22.5" customHeight="1">
      <c r="A66" s="9">
        <v>56</v>
      </c>
      <c r="B66" s="13" t="s">
        <v>185</v>
      </c>
      <c r="C66" s="278">
        <v>14111.138999999999</v>
      </c>
      <c r="D66" s="278">
        <v>14110.999</v>
      </c>
      <c r="E66" s="278"/>
      <c r="F66" s="278"/>
      <c r="G66" s="278"/>
      <c r="H66" s="278"/>
      <c r="I66" s="278"/>
      <c r="J66" s="278"/>
      <c r="K66" s="278"/>
      <c r="L66" s="278"/>
      <c r="M66" s="278"/>
      <c r="N66" s="278">
        <v>14110.999</v>
      </c>
      <c r="O66" s="278"/>
      <c r="P66" s="278"/>
      <c r="Q66" s="278"/>
      <c r="R66" s="278"/>
      <c r="S66" s="279"/>
      <c r="T66" s="280">
        <f t="shared" si="1"/>
        <v>99.999007875976559</v>
      </c>
    </row>
    <row r="67" spans="1:20" ht="24" customHeight="1">
      <c r="A67" s="9">
        <v>57</v>
      </c>
      <c r="B67" s="11" t="s">
        <v>1383</v>
      </c>
      <c r="C67" s="278">
        <f>37836.427632+17562.755915</f>
        <v>55399.183547000001</v>
      </c>
      <c r="D67" s="278">
        <f>27730.972632+12020.269394</f>
        <v>39751.242026</v>
      </c>
      <c r="E67" s="278">
        <v>1500</v>
      </c>
      <c r="F67" s="278"/>
      <c r="G67" s="278"/>
      <c r="H67" s="278"/>
      <c r="I67" s="278"/>
      <c r="J67" s="278">
        <v>24865.317899999998</v>
      </c>
      <c r="K67" s="278"/>
      <c r="L67" s="278">
        <v>87.917126999999994</v>
      </c>
      <c r="M67" s="278"/>
      <c r="N67" s="278">
        <v>13298.006998999999</v>
      </c>
      <c r="O67" s="278"/>
      <c r="P67" s="278"/>
      <c r="Q67" s="278"/>
      <c r="R67" s="278"/>
      <c r="S67" s="279"/>
      <c r="T67" s="280">
        <f t="shared" si="1"/>
        <v>71.75420192298597</v>
      </c>
    </row>
    <row r="68" spans="1:20" ht="31.5" customHeight="1">
      <c r="A68" s="9">
        <v>58</v>
      </c>
      <c r="B68" s="13" t="s">
        <v>194</v>
      </c>
      <c r="C68" s="278">
        <v>295.21300000000002</v>
      </c>
      <c r="D68" s="278">
        <v>295.21300000000002</v>
      </c>
      <c r="E68" s="278"/>
      <c r="F68" s="278"/>
      <c r="G68" s="278"/>
      <c r="H68" s="278"/>
      <c r="I68" s="278"/>
      <c r="J68" s="278">
        <v>295.21300000000002</v>
      </c>
      <c r="K68" s="278"/>
      <c r="L68" s="278"/>
      <c r="M68" s="278"/>
      <c r="N68" s="278"/>
      <c r="O68" s="278"/>
      <c r="P68" s="278"/>
      <c r="Q68" s="278"/>
      <c r="R68" s="278"/>
      <c r="S68" s="279"/>
      <c r="T68" s="280">
        <f>D68/C68*100</f>
        <v>100</v>
      </c>
    </row>
    <row r="69" spans="1:20" ht="24" customHeight="1">
      <c r="A69" s="9">
        <v>59</v>
      </c>
      <c r="B69" s="12" t="s">
        <v>187</v>
      </c>
      <c r="C69" s="278">
        <f>121836.1354+56213.120778+819.7505+15444.759667</f>
        <v>194313.76634500001</v>
      </c>
      <c r="D69" s="278">
        <f>100001.926294+42661.943048+208.5275+6092.853</f>
        <v>148965.24984199999</v>
      </c>
      <c r="E69" s="278"/>
      <c r="F69" s="278"/>
      <c r="G69" s="278"/>
      <c r="H69" s="278"/>
      <c r="I69" s="278">
        <f>142203.855342+6301.3805</f>
        <v>148505.23584199999</v>
      </c>
      <c r="J69" s="278"/>
      <c r="K69" s="278"/>
      <c r="L69" s="278"/>
      <c r="M69" s="278"/>
      <c r="N69" s="278">
        <v>460.01400000000001</v>
      </c>
      <c r="O69" s="278"/>
      <c r="P69" s="278"/>
      <c r="Q69" s="278"/>
      <c r="R69" s="278"/>
      <c r="S69" s="279"/>
      <c r="T69" s="280">
        <f t="shared" si="1"/>
        <v>76.662221439069484</v>
      </c>
    </row>
    <row r="70" spans="1:20" ht="29.25" customHeight="1">
      <c r="A70" s="9">
        <v>60</v>
      </c>
      <c r="B70" s="11" t="s">
        <v>152</v>
      </c>
      <c r="C70" s="278">
        <v>23784</v>
      </c>
      <c r="D70" s="278">
        <v>5503.8625000000002</v>
      </c>
      <c r="E70" s="278"/>
      <c r="F70" s="278"/>
      <c r="G70" s="278"/>
      <c r="H70" s="278"/>
      <c r="I70" s="278">
        <v>2711.855</v>
      </c>
      <c r="J70" s="278"/>
      <c r="K70" s="278"/>
      <c r="L70" s="278"/>
      <c r="M70" s="278"/>
      <c r="N70" s="278">
        <v>2792.0075000000002</v>
      </c>
      <c r="O70" s="278"/>
      <c r="P70" s="278"/>
      <c r="Q70" s="278"/>
      <c r="R70" s="278"/>
      <c r="S70" s="279"/>
      <c r="T70" s="280">
        <f>D70/C70*100</f>
        <v>23.141029683821056</v>
      </c>
    </row>
    <row r="71" spans="1:20" ht="29.25" customHeight="1">
      <c r="A71" s="9">
        <v>61</v>
      </c>
      <c r="B71" s="11" t="s">
        <v>153</v>
      </c>
      <c r="C71" s="278">
        <v>1300</v>
      </c>
      <c r="D71" s="278">
        <v>600</v>
      </c>
      <c r="E71" s="278"/>
      <c r="F71" s="278"/>
      <c r="G71" s="278"/>
      <c r="H71" s="278"/>
      <c r="I71" s="278">
        <v>600</v>
      </c>
      <c r="J71" s="278"/>
      <c r="K71" s="278"/>
      <c r="L71" s="278"/>
      <c r="M71" s="278"/>
      <c r="N71" s="278"/>
      <c r="O71" s="278"/>
      <c r="P71" s="278"/>
      <c r="Q71" s="278"/>
      <c r="R71" s="278"/>
      <c r="S71" s="279"/>
      <c r="T71" s="280">
        <f>D71/C71*100</f>
        <v>46.153846153846153</v>
      </c>
    </row>
    <row r="72" spans="1:20" ht="33" customHeight="1">
      <c r="A72" s="9">
        <v>62</v>
      </c>
      <c r="B72" s="16" t="s">
        <v>167</v>
      </c>
      <c r="C72" s="282">
        <v>5000</v>
      </c>
      <c r="D72" s="278">
        <v>1313.0029999999999</v>
      </c>
      <c r="E72" s="278"/>
      <c r="F72" s="278"/>
      <c r="G72" s="278"/>
      <c r="H72" s="278"/>
      <c r="I72" s="278">
        <v>1313.0029999999999</v>
      </c>
      <c r="J72" s="278"/>
      <c r="K72" s="278"/>
      <c r="L72" s="278"/>
      <c r="M72" s="278"/>
      <c r="N72" s="278"/>
      <c r="O72" s="278"/>
      <c r="P72" s="278"/>
      <c r="Q72" s="278"/>
      <c r="R72" s="278"/>
      <c r="S72" s="279"/>
      <c r="T72" s="280">
        <f>D72/C72*100</f>
        <v>26.260059999999996</v>
      </c>
    </row>
    <row r="73" spans="1:20" ht="33.75" customHeight="1">
      <c r="A73" s="9">
        <v>63</v>
      </c>
      <c r="B73" s="11" t="s">
        <v>1431</v>
      </c>
      <c r="C73" s="278">
        <v>600</v>
      </c>
      <c r="D73" s="278">
        <v>57.417999999999999</v>
      </c>
      <c r="E73" s="278"/>
      <c r="F73" s="278"/>
      <c r="G73" s="278"/>
      <c r="H73" s="278"/>
      <c r="I73" s="278"/>
      <c r="J73" s="278"/>
      <c r="K73" s="278"/>
      <c r="L73" s="278"/>
      <c r="M73" s="278"/>
      <c r="N73" s="278">
        <v>57.417999999999999</v>
      </c>
      <c r="O73" s="278"/>
      <c r="P73" s="278"/>
      <c r="Q73" s="278"/>
      <c r="R73" s="278"/>
      <c r="S73" s="279"/>
      <c r="T73" s="280">
        <f>D73/C73*100</f>
        <v>9.5696666666666665</v>
      </c>
    </row>
    <row r="74" spans="1:20" ht="25.5" customHeight="1">
      <c r="A74" s="9">
        <v>64</v>
      </c>
      <c r="B74" s="19" t="s">
        <v>195</v>
      </c>
      <c r="C74" s="282">
        <v>2025</v>
      </c>
      <c r="D74" s="278">
        <v>890.21</v>
      </c>
      <c r="E74" s="278"/>
      <c r="F74" s="278"/>
      <c r="G74" s="278"/>
      <c r="H74" s="278"/>
      <c r="I74" s="278">
        <v>890.21</v>
      </c>
      <c r="J74" s="278"/>
      <c r="K74" s="278"/>
      <c r="L74" s="278"/>
      <c r="M74" s="278"/>
      <c r="N74" s="278"/>
      <c r="O74" s="278"/>
      <c r="P74" s="278"/>
      <c r="Q74" s="278"/>
      <c r="R74" s="278"/>
      <c r="S74" s="279"/>
      <c r="T74" s="280">
        <f>D74/C74*100</f>
        <v>43.960987654320988</v>
      </c>
    </row>
    <row r="75" spans="1:20" ht="24" customHeight="1">
      <c r="A75" s="9">
        <v>65</v>
      </c>
      <c r="B75" s="11" t="s">
        <v>188</v>
      </c>
      <c r="C75" s="278">
        <v>3800</v>
      </c>
      <c r="D75" s="278">
        <v>3577.5</v>
      </c>
      <c r="E75" s="278"/>
      <c r="F75" s="278"/>
      <c r="G75" s="278"/>
      <c r="H75" s="278"/>
      <c r="I75" s="278"/>
      <c r="J75" s="278">
        <v>1106.2570000000001</v>
      </c>
      <c r="K75" s="278"/>
      <c r="L75" s="278"/>
      <c r="M75" s="278"/>
      <c r="N75" s="278">
        <v>2471.2429999999999</v>
      </c>
      <c r="O75" s="278"/>
      <c r="P75" s="278"/>
      <c r="Q75" s="278"/>
      <c r="R75" s="278"/>
      <c r="S75" s="279"/>
      <c r="T75" s="280">
        <f t="shared" si="1"/>
        <v>94.14473684210526</v>
      </c>
    </row>
    <row r="76" spans="1:20" ht="32.25" customHeight="1">
      <c r="A76" s="9">
        <v>66</v>
      </c>
      <c r="B76" s="14" t="s">
        <v>1418</v>
      </c>
      <c r="C76" s="282">
        <v>1200</v>
      </c>
      <c r="D76" s="282">
        <v>1200</v>
      </c>
      <c r="E76" s="278"/>
      <c r="F76" s="278"/>
      <c r="G76" s="278"/>
      <c r="H76" s="278"/>
      <c r="I76" s="278"/>
      <c r="J76" s="278"/>
      <c r="K76" s="278"/>
      <c r="L76" s="278"/>
      <c r="M76" s="278"/>
      <c r="N76" s="282">
        <v>1200</v>
      </c>
      <c r="O76" s="278"/>
      <c r="P76" s="278"/>
      <c r="Q76" s="278"/>
      <c r="R76" s="278"/>
      <c r="S76" s="279"/>
      <c r="T76" s="280">
        <f t="shared" ref="T76:T87" si="3">D76/C76*100</f>
        <v>100</v>
      </c>
    </row>
    <row r="77" spans="1:20" ht="30.75" customHeight="1">
      <c r="A77" s="9">
        <v>67</v>
      </c>
      <c r="B77" s="14" t="s">
        <v>193</v>
      </c>
      <c r="C77" s="278">
        <v>4622.3909999999996</v>
      </c>
      <c r="D77" s="278">
        <v>184.41</v>
      </c>
      <c r="E77" s="278"/>
      <c r="F77" s="278"/>
      <c r="G77" s="278"/>
      <c r="H77" s="278"/>
      <c r="I77" s="278"/>
      <c r="J77" s="278"/>
      <c r="K77" s="278"/>
      <c r="L77" s="278"/>
      <c r="M77" s="278"/>
      <c r="N77" s="278">
        <v>184.41</v>
      </c>
      <c r="O77" s="278"/>
      <c r="P77" s="278"/>
      <c r="Q77" s="278"/>
      <c r="R77" s="278"/>
      <c r="S77" s="279"/>
      <c r="T77" s="280">
        <f t="shared" si="3"/>
        <v>3.9894937490143092</v>
      </c>
    </row>
    <row r="78" spans="1:20" ht="25.5" customHeight="1">
      <c r="A78" s="9">
        <v>68</v>
      </c>
      <c r="B78" s="11" t="s">
        <v>196</v>
      </c>
      <c r="C78" s="281">
        <v>1347</v>
      </c>
      <c r="D78" s="281">
        <v>1347</v>
      </c>
      <c r="E78" s="281">
        <v>1347</v>
      </c>
      <c r="F78" s="278"/>
      <c r="G78" s="278"/>
      <c r="H78" s="278"/>
      <c r="I78" s="278"/>
      <c r="J78" s="278"/>
      <c r="K78" s="278"/>
      <c r="L78" s="278"/>
      <c r="M78" s="278"/>
      <c r="N78" s="278"/>
      <c r="O78" s="278"/>
      <c r="P78" s="278"/>
      <c r="Q78" s="278"/>
      <c r="R78" s="278"/>
      <c r="S78" s="279"/>
      <c r="T78" s="280">
        <f t="shared" si="3"/>
        <v>100</v>
      </c>
    </row>
    <row r="79" spans="1:20" ht="25.5" customHeight="1">
      <c r="A79" s="9">
        <v>69</v>
      </c>
      <c r="B79" s="14" t="s">
        <v>197</v>
      </c>
      <c r="C79" s="282">
        <v>800</v>
      </c>
      <c r="D79" s="282">
        <v>800</v>
      </c>
      <c r="E79" s="282">
        <v>800</v>
      </c>
      <c r="F79" s="278"/>
      <c r="G79" s="278"/>
      <c r="H79" s="278"/>
      <c r="I79" s="278"/>
      <c r="J79" s="278"/>
      <c r="K79" s="278"/>
      <c r="L79" s="278"/>
      <c r="M79" s="278"/>
      <c r="N79" s="278"/>
      <c r="O79" s="278"/>
      <c r="P79" s="278"/>
      <c r="Q79" s="278"/>
      <c r="R79" s="278"/>
      <c r="S79" s="279"/>
      <c r="T79" s="280">
        <f t="shared" si="3"/>
        <v>100</v>
      </c>
    </row>
    <row r="80" spans="1:20" ht="25.5" customHeight="1">
      <c r="A80" s="9">
        <v>70</v>
      </c>
      <c r="B80" s="13" t="s">
        <v>198</v>
      </c>
      <c r="C80" s="278">
        <v>5352</v>
      </c>
      <c r="D80" s="278">
        <v>2628.4920000000002</v>
      </c>
      <c r="E80" s="278">
        <v>2352</v>
      </c>
      <c r="F80" s="278"/>
      <c r="G80" s="278"/>
      <c r="H80" s="278"/>
      <c r="I80" s="278"/>
      <c r="J80" s="278"/>
      <c r="K80" s="278"/>
      <c r="L80" s="278"/>
      <c r="M80" s="278"/>
      <c r="N80" s="278">
        <v>276.49200000000002</v>
      </c>
      <c r="O80" s="278"/>
      <c r="P80" s="278"/>
      <c r="Q80" s="278"/>
      <c r="R80" s="278"/>
      <c r="S80" s="279"/>
      <c r="T80" s="280">
        <f t="shared" si="3"/>
        <v>49.112331838565026</v>
      </c>
    </row>
    <row r="81" spans="1:20" ht="25.5" customHeight="1">
      <c r="A81" s="9">
        <v>71</v>
      </c>
      <c r="B81" s="13" t="s">
        <v>199</v>
      </c>
      <c r="C81" s="278">
        <f>10087.7467+91.307</f>
        <v>10179.0537</v>
      </c>
      <c r="D81" s="278">
        <f>10087.7467+91.307</f>
        <v>10179.0537</v>
      </c>
      <c r="E81" s="278">
        <f>10087.7467+91.307</f>
        <v>10179.0537</v>
      </c>
      <c r="F81" s="278"/>
      <c r="G81" s="278"/>
      <c r="H81" s="278"/>
      <c r="I81" s="278"/>
      <c r="J81" s="278"/>
      <c r="K81" s="278"/>
      <c r="L81" s="278"/>
      <c r="M81" s="278"/>
      <c r="N81" s="278"/>
      <c r="O81" s="278"/>
      <c r="P81" s="278"/>
      <c r="Q81" s="278"/>
      <c r="R81" s="278"/>
      <c r="S81" s="279"/>
      <c r="T81" s="280">
        <f t="shared" si="3"/>
        <v>100</v>
      </c>
    </row>
    <row r="82" spans="1:20" ht="24.75" customHeight="1">
      <c r="A82" s="9">
        <v>72</v>
      </c>
      <c r="B82" s="11" t="s">
        <v>201</v>
      </c>
      <c r="C82" s="278">
        <v>6500</v>
      </c>
      <c r="D82" s="278">
        <v>0</v>
      </c>
      <c r="E82" s="278"/>
      <c r="F82" s="278"/>
      <c r="G82" s="278"/>
      <c r="H82" s="278"/>
      <c r="I82" s="278"/>
      <c r="J82" s="278"/>
      <c r="K82" s="278"/>
      <c r="L82" s="278"/>
      <c r="M82" s="278"/>
      <c r="N82" s="278"/>
      <c r="O82" s="278"/>
      <c r="P82" s="278"/>
      <c r="Q82" s="278"/>
      <c r="R82" s="278"/>
      <c r="S82" s="279"/>
      <c r="T82" s="280">
        <f t="shared" si="3"/>
        <v>0</v>
      </c>
    </row>
    <row r="83" spans="1:20" ht="28.5" customHeight="1">
      <c r="A83" s="9">
        <v>73</v>
      </c>
      <c r="B83" s="8" t="s">
        <v>1069</v>
      </c>
      <c r="C83" s="281">
        <v>81067.426005999994</v>
      </c>
      <c r="D83" s="281">
        <f>SUM(E83:S83)-O83-P83</f>
        <v>81067.426005999994</v>
      </c>
      <c r="E83" s="283"/>
      <c r="F83" s="283"/>
      <c r="G83" s="283"/>
      <c r="H83" s="283"/>
      <c r="I83" s="283"/>
      <c r="J83" s="283"/>
      <c r="K83" s="283"/>
      <c r="L83" s="283"/>
      <c r="M83" s="283"/>
      <c r="N83" s="283"/>
      <c r="O83" s="283"/>
      <c r="P83" s="283"/>
      <c r="Q83" s="283"/>
      <c r="R83" s="283"/>
      <c r="S83" s="281">
        <v>81067.426005999994</v>
      </c>
      <c r="T83" s="280">
        <f t="shared" si="3"/>
        <v>100</v>
      </c>
    </row>
    <row r="84" spans="1:20" ht="31.5" customHeight="1">
      <c r="A84" s="9">
        <v>74</v>
      </c>
      <c r="B84" s="8" t="s">
        <v>125</v>
      </c>
      <c r="C84" s="281">
        <v>30000</v>
      </c>
      <c r="D84" s="281">
        <f t="shared" ref="D84:D87" si="4">SUM(E84:S84)-O84-P84</f>
        <v>30000</v>
      </c>
      <c r="E84" s="283"/>
      <c r="F84" s="283"/>
      <c r="G84" s="283"/>
      <c r="H84" s="283"/>
      <c r="I84" s="283"/>
      <c r="J84" s="283"/>
      <c r="K84" s="283"/>
      <c r="L84" s="283"/>
      <c r="M84" s="283"/>
      <c r="N84" s="283"/>
      <c r="O84" s="283"/>
      <c r="P84" s="283"/>
      <c r="Q84" s="283"/>
      <c r="R84" s="283"/>
      <c r="S84" s="281">
        <v>30000</v>
      </c>
      <c r="T84" s="280">
        <f t="shared" si="3"/>
        <v>100</v>
      </c>
    </row>
    <row r="85" spans="1:20" ht="33" customHeight="1">
      <c r="A85" s="9">
        <v>75</v>
      </c>
      <c r="B85" s="8" t="s">
        <v>126</v>
      </c>
      <c r="C85" s="281">
        <v>10706</v>
      </c>
      <c r="D85" s="281">
        <f t="shared" si="4"/>
        <v>10706</v>
      </c>
      <c r="E85" s="283"/>
      <c r="F85" s="283"/>
      <c r="G85" s="283"/>
      <c r="H85" s="283"/>
      <c r="I85" s="283"/>
      <c r="J85" s="283"/>
      <c r="K85" s="283"/>
      <c r="L85" s="283"/>
      <c r="M85" s="283"/>
      <c r="N85" s="283"/>
      <c r="O85" s="283"/>
      <c r="P85" s="283"/>
      <c r="Q85" s="283"/>
      <c r="R85" s="283"/>
      <c r="S85" s="281">
        <v>10706</v>
      </c>
      <c r="T85" s="280">
        <f t="shared" si="3"/>
        <v>100</v>
      </c>
    </row>
    <row r="86" spans="1:20" ht="28.5" customHeight="1">
      <c r="A86" s="9">
        <v>76</v>
      </c>
      <c r="B86" s="8" t="s">
        <v>1157</v>
      </c>
      <c r="C86" s="281">
        <v>5000</v>
      </c>
      <c r="D86" s="281">
        <f t="shared" si="4"/>
        <v>5000</v>
      </c>
      <c r="E86" s="283"/>
      <c r="F86" s="283"/>
      <c r="G86" s="283"/>
      <c r="H86" s="283"/>
      <c r="I86" s="283"/>
      <c r="J86" s="283"/>
      <c r="K86" s="283"/>
      <c r="L86" s="283"/>
      <c r="M86" s="283"/>
      <c r="N86" s="283"/>
      <c r="O86" s="283"/>
      <c r="P86" s="283"/>
      <c r="Q86" s="283"/>
      <c r="R86" s="283"/>
      <c r="S86" s="281">
        <v>5000</v>
      </c>
      <c r="T86" s="280">
        <f t="shared" si="3"/>
        <v>100</v>
      </c>
    </row>
    <row r="87" spans="1:20" ht="43.5" customHeight="1">
      <c r="A87" s="9">
        <v>77</v>
      </c>
      <c r="B87" s="8" t="s">
        <v>1156</v>
      </c>
      <c r="C87" s="281">
        <v>20000</v>
      </c>
      <c r="D87" s="281">
        <f t="shared" si="4"/>
        <v>20000</v>
      </c>
      <c r="E87" s="283"/>
      <c r="F87" s="283"/>
      <c r="G87" s="283"/>
      <c r="H87" s="283"/>
      <c r="I87" s="283"/>
      <c r="J87" s="283"/>
      <c r="K87" s="283"/>
      <c r="L87" s="283"/>
      <c r="M87" s="283"/>
      <c r="N87" s="283"/>
      <c r="O87" s="283"/>
      <c r="P87" s="283"/>
      <c r="Q87" s="283"/>
      <c r="R87" s="283"/>
      <c r="S87" s="284">
        <v>20000</v>
      </c>
      <c r="T87" s="280">
        <f t="shared" si="3"/>
        <v>100</v>
      </c>
    </row>
    <row r="88" spans="1:20" ht="35.25" customHeight="1">
      <c r="A88" s="9">
        <v>78</v>
      </c>
      <c r="B88" s="11" t="s">
        <v>161</v>
      </c>
      <c r="C88" s="278">
        <v>505.17960699999998</v>
      </c>
      <c r="D88" s="278">
        <v>502.01164</v>
      </c>
      <c r="E88" s="278"/>
      <c r="F88" s="278"/>
      <c r="G88" s="278"/>
      <c r="H88" s="278"/>
      <c r="I88" s="278"/>
      <c r="J88" s="278"/>
      <c r="K88" s="278"/>
      <c r="L88" s="278"/>
      <c r="M88" s="278">
        <v>2.0116399999999999</v>
      </c>
      <c r="N88" s="278">
        <v>500</v>
      </c>
      <c r="O88" s="278"/>
      <c r="P88" s="278"/>
      <c r="Q88" s="278"/>
      <c r="R88" s="278"/>
      <c r="S88" s="279"/>
      <c r="T88" s="280">
        <f t="shared" ref="T88:T93" si="5">D88/C88*100</f>
        <v>99.37290283374405</v>
      </c>
    </row>
    <row r="89" spans="1:20" ht="35.25" customHeight="1">
      <c r="A89" s="9">
        <v>79</v>
      </c>
      <c r="B89" s="14" t="s">
        <v>162</v>
      </c>
      <c r="C89" s="278">
        <f>9679.839647+13340.344</f>
        <v>23020.183646999998</v>
      </c>
      <c r="D89" s="278">
        <f>8884.272777+12027.610501</f>
        <v>20911.883278000001</v>
      </c>
      <c r="E89" s="278"/>
      <c r="F89" s="278"/>
      <c r="G89" s="278"/>
      <c r="H89" s="278"/>
      <c r="I89" s="278"/>
      <c r="J89" s="278"/>
      <c r="K89" s="278"/>
      <c r="L89" s="278"/>
      <c r="M89" s="278">
        <v>893.45899999999995</v>
      </c>
      <c r="N89" s="278">
        <v>20018.424277999999</v>
      </c>
      <c r="O89" s="278"/>
      <c r="P89" s="278"/>
      <c r="Q89" s="278"/>
      <c r="R89" s="278"/>
      <c r="S89" s="279"/>
      <c r="T89" s="280">
        <f t="shared" si="5"/>
        <v>90.841513684992904</v>
      </c>
    </row>
    <row r="90" spans="1:20" ht="35.25" customHeight="1">
      <c r="A90" s="9">
        <v>80</v>
      </c>
      <c r="B90" s="14" t="s">
        <v>163</v>
      </c>
      <c r="C90" s="278">
        <v>29000</v>
      </c>
      <c r="D90" s="278">
        <v>29000</v>
      </c>
      <c r="E90" s="278"/>
      <c r="F90" s="278"/>
      <c r="G90" s="278"/>
      <c r="H90" s="278"/>
      <c r="I90" s="278"/>
      <c r="J90" s="278"/>
      <c r="K90" s="278"/>
      <c r="L90" s="278"/>
      <c r="M90" s="278"/>
      <c r="N90" s="278">
        <v>29000</v>
      </c>
      <c r="O90" s="278"/>
      <c r="P90" s="278"/>
      <c r="Q90" s="278"/>
      <c r="R90" s="278"/>
      <c r="S90" s="279"/>
      <c r="T90" s="280">
        <f t="shared" si="5"/>
        <v>100</v>
      </c>
    </row>
    <row r="91" spans="1:20" ht="30.75" customHeight="1">
      <c r="A91" s="9">
        <v>81</v>
      </c>
      <c r="B91" s="13" t="s">
        <v>164</v>
      </c>
      <c r="C91" s="278">
        <f>4553.567+987.875</f>
        <v>5541.442</v>
      </c>
      <c r="D91" s="278">
        <f>4553.567+987.875</f>
        <v>5541.442</v>
      </c>
      <c r="E91" s="278"/>
      <c r="F91" s="278"/>
      <c r="G91" s="278"/>
      <c r="H91" s="278"/>
      <c r="I91" s="278"/>
      <c r="J91" s="278"/>
      <c r="K91" s="278"/>
      <c r="L91" s="278"/>
      <c r="M91" s="278"/>
      <c r="N91" s="278">
        <f>4553.567+987.875</f>
        <v>5541.442</v>
      </c>
      <c r="O91" s="278"/>
      <c r="P91" s="278">
        <f>4553.567+987.875</f>
        <v>5541.442</v>
      </c>
      <c r="Q91" s="278"/>
      <c r="R91" s="278"/>
      <c r="S91" s="279"/>
      <c r="T91" s="280">
        <f t="shared" si="5"/>
        <v>100</v>
      </c>
    </row>
    <row r="92" spans="1:20" ht="33.75" customHeight="1">
      <c r="A92" s="9">
        <v>82</v>
      </c>
      <c r="B92" s="17" t="s">
        <v>165</v>
      </c>
      <c r="C92" s="278">
        <v>58522.994038999997</v>
      </c>
      <c r="D92" s="278">
        <v>58522.994038999997</v>
      </c>
      <c r="E92" s="278"/>
      <c r="F92" s="278"/>
      <c r="G92" s="278"/>
      <c r="H92" s="278"/>
      <c r="I92" s="278"/>
      <c r="J92" s="278"/>
      <c r="K92" s="278"/>
      <c r="L92" s="278"/>
      <c r="M92" s="278"/>
      <c r="N92" s="278">
        <v>58522.994038999997</v>
      </c>
      <c r="O92" s="278"/>
      <c r="P92" s="278"/>
      <c r="Q92" s="278"/>
      <c r="R92" s="278"/>
      <c r="S92" s="279"/>
      <c r="T92" s="280">
        <f t="shared" si="5"/>
        <v>100</v>
      </c>
    </row>
    <row r="93" spans="1:20" ht="33.75" customHeight="1">
      <c r="A93" s="212">
        <v>83</v>
      </c>
      <c r="B93" s="247" t="s">
        <v>166</v>
      </c>
      <c r="C93" s="285">
        <v>2143.7925409999998</v>
      </c>
      <c r="D93" s="285">
        <v>0</v>
      </c>
      <c r="E93" s="285"/>
      <c r="F93" s="285"/>
      <c r="G93" s="285"/>
      <c r="H93" s="285"/>
      <c r="I93" s="285"/>
      <c r="J93" s="285"/>
      <c r="K93" s="285"/>
      <c r="L93" s="285"/>
      <c r="M93" s="285"/>
      <c r="N93" s="285"/>
      <c r="O93" s="285"/>
      <c r="P93" s="285"/>
      <c r="Q93" s="285"/>
      <c r="R93" s="285"/>
      <c r="S93" s="286"/>
      <c r="T93" s="287">
        <f t="shared" si="5"/>
        <v>0</v>
      </c>
    </row>
    <row r="95" spans="1:20" ht="15.75">
      <c r="B95" s="492" t="s">
        <v>1435</v>
      </c>
      <c r="C95" s="493"/>
      <c r="D95" s="493"/>
      <c r="E95" s="493"/>
      <c r="F95" s="493"/>
      <c r="G95" s="493"/>
      <c r="H95" s="493"/>
      <c r="I95" s="493"/>
    </row>
  </sheetData>
  <mergeCells count="22">
    <mergeCell ref="R2:T3"/>
    <mergeCell ref="O7:P7"/>
    <mergeCell ref="Q7:Q8"/>
    <mergeCell ref="R7:R8"/>
    <mergeCell ref="S7:S8"/>
    <mergeCell ref="T7:T8"/>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26" customWidth="1"/>
    <col min="2" max="2" width="41" style="26" customWidth="1"/>
    <col min="3" max="4" width="13.28515625" style="26" customWidth="1"/>
    <col min="5" max="5" width="10" style="26" customWidth="1"/>
    <col min="6" max="6" width="14.28515625" style="26" bestFit="1" customWidth="1"/>
    <col min="7" max="7" width="14.5703125" style="26" bestFit="1" customWidth="1"/>
    <col min="8" max="8" width="11.5703125" style="26" bestFit="1" customWidth="1"/>
    <col min="9" max="9" width="12.28515625" style="26" customWidth="1"/>
    <col min="10" max="10" width="13.5703125" style="26" customWidth="1"/>
    <col min="11" max="11" width="11.28515625" style="26" customWidth="1"/>
    <col min="12" max="16384" width="9.140625" style="26"/>
  </cols>
  <sheetData>
    <row r="1" spans="1:11" ht="15" customHeight="1">
      <c r="C1" s="480" t="s">
        <v>31</v>
      </c>
      <c r="D1" s="480"/>
      <c r="E1" s="480"/>
    </row>
    <row r="2" spans="1:11">
      <c r="C2" s="479" t="s">
        <v>104</v>
      </c>
      <c r="D2" s="479"/>
      <c r="E2" s="479"/>
    </row>
    <row r="3" spans="1:11">
      <c r="C3" s="479"/>
      <c r="D3" s="479"/>
      <c r="E3" s="479"/>
    </row>
    <row r="4" spans="1:11" ht="34.5" customHeight="1">
      <c r="A4" s="515" t="s">
        <v>1424</v>
      </c>
      <c r="B4" s="515"/>
      <c r="C4" s="515"/>
      <c r="D4" s="515"/>
      <c r="E4" s="515"/>
    </row>
    <row r="5" spans="1:11" ht="15.75">
      <c r="E5" s="77" t="s">
        <v>20</v>
      </c>
    </row>
    <row r="6" spans="1:11" ht="31.5">
      <c r="A6" s="428" t="s">
        <v>1</v>
      </c>
      <c r="B6" s="428" t="s">
        <v>2</v>
      </c>
      <c r="C6" s="428" t="s">
        <v>21</v>
      </c>
      <c r="D6" s="428" t="s">
        <v>22</v>
      </c>
      <c r="E6" s="428" t="s">
        <v>32</v>
      </c>
    </row>
    <row r="7" spans="1:11" ht="15.75">
      <c r="A7" s="105" t="s">
        <v>3</v>
      </c>
      <c r="B7" s="105" t="s">
        <v>4</v>
      </c>
      <c r="C7" s="105">
        <v>1</v>
      </c>
      <c r="D7" s="105">
        <v>2</v>
      </c>
      <c r="E7" s="105">
        <v>3</v>
      </c>
    </row>
    <row r="8" spans="1:11" ht="15.75">
      <c r="A8" s="78" t="s">
        <v>3</v>
      </c>
      <c r="B8" s="79" t="s">
        <v>105</v>
      </c>
      <c r="C8" s="80"/>
      <c r="D8" s="80"/>
      <c r="E8" s="81"/>
      <c r="I8" s="26" t="s">
        <v>1504</v>
      </c>
    </row>
    <row r="9" spans="1:11" s="40" customFormat="1" ht="15.75">
      <c r="A9" s="20" t="s">
        <v>8</v>
      </c>
      <c r="B9" s="4" t="s">
        <v>33</v>
      </c>
      <c r="C9" s="322">
        <f>SUM(C10:C20)-C13</f>
        <v>16185201</v>
      </c>
      <c r="D9" s="322">
        <f>SUM(D10:D20)-D11</f>
        <v>52138802.576418005</v>
      </c>
      <c r="E9" s="104">
        <f>D9/C9*100</f>
        <v>322.13874005282975</v>
      </c>
      <c r="F9" s="209" t="str">
        <f>+'[3]60'!$C$8</f>
        <v>Thu NS cấp tỉnh</v>
      </c>
      <c r="G9" s="82" t="e">
        <f>+F9-D9</f>
        <v>#VALUE!</v>
      </c>
      <c r="H9" s="82">
        <f>+C9+C31</f>
        <v>25222976</v>
      </c>
      <c r="I9" s="374">
        <f>+D9-D17</f>
        <v>51463784.017114006</v>
      </c>
      <c r="J9" s="374">
        <f>+I9-H21</f>
        <v>39042521.822117008</v>
      </c>
      <c r="K9" s="374" t="e">
        <f>+C9-C21</f>
        <v>#REF!</v>
      </c>
    </row>
    <row r="10" spans="1:11" ht="15.75">
      <c r="A10" s="5">
        <v>1</v>
      </c>
      <c r="B10" s="3" t="s">
        <v>34</v>
      </c>
      <c r="C10" s="323">
        <f>9355425+70000+197700+50000</f>
        <v>9673125</v>
      </c>
      <c r="D10" s="320">
        <f>+'[3]60'!$C$10+'[3]60'!$C$11+'[3]60'!$C$15+'[3]60'!$C$24</f>
        <v>40675683.204710007</v>
      </c>
      <c r="E10" s="41">
        <f t="shared" ref="E10:E44" si="0">D10/C10*100</f>
        <v>420.50199087378701</v>
      </c>
      <c r="F10" s="85">
        <f>+D10+D11+D15+D16+D17+D18+D19+D20</f>
        <v>52138802.576418005</v>
      </c>
    </row>
    <row r="11" spans="1:11" ht="15.75">
      <c r="A11" s="5">
        <v>2</v>
      </c>
      <c r="B11" s="3" t="s">
        <v>10</v>
      </c>
      <c r="C11" s="320">
        <f>C12+C13</f>
        <v>1464906</v>
      </c>
      <c r="D11" s="320">
        <f>D12+D13</f>
        <v>3261466.2171990001</v>
      </c>
      <c r="E11" s="41">
        <f t="shared" si="0"/>
        <v>222.63996578613234</v>
      </c>
    </row>
    <row r="12" spans="1:11" s="88" customFormat="1" ht="15.75">
      <c r="A12" s="86" t="s">
        <v>23</v>
      </c>
      <c r="B12" s="87" t="s">
        <v>35</v>
      </c>
      <c r="C12" s="321">
        <v>0</v>
      </c>
      <c r="D12" s="321">
        <v>0</v>
      </c>
      <c r="E12" s="268"/>
    </row>
    <row r="13" spans="1:11" s="88" customFormat="1" ht="15.75">
      <c r="A13" s="86" t="s">
        <v>23</v>
      </c>
      <c r="B13" s="87" t="s">
        <v>11</v>
      </c>
      <c r="C13" s="321">
        <v>1464906</v>
      </c>
      <c r="D13" s="321">
        <f>'[4]60'!$C$20</f>
        <v>3261466.2171990001</v>
      </c>
      <c r="E13" s="268">
        <f t="shared" si="0"/>
        <v>222.63996578613234</v>
      </c>
    </row>
    <row r="14" spans="1:11" ht="15.75">
      <c r="A14" s="5">
        <v>3</v>
      </c>
      <c r="B14" s="3" t="s">
        <v>1103</v>
      </c>
      <c r="C14" s="320">
        <v>0</v>
      </c>
      <c r="D14" s="320">
        <v>0</v>
      </c>
      <c r="E14" s="41"/>
    </row>
    <row r="15" spans="1:11" ht="15.75">
      <c r="A15" s="5">
        <v>4</v>
      </c>
      <c r="B15" s="3" t="s">
        <v>26</v>
      </c>
      <c r="C15" s="320">
        <v>0</v>
      </c>
      <c r="D15" s="320">
        <f>'[4]60'!$C$15</f>
        <v>11868.467336</v>
      </c>
      <c r="E15" s="41"/>
    </row>
    <row r="16" spans="1:11" ht="15.75">
      <c r="A16" s="5">
        <v>5</v>
      </c>
      <c r="B16" s="3" t="s">
        <v>27</v>
      </c>
      <c r="C16" s="320">
        <v>5047170</v>
      </c>
      <c r="D16" s="320">
        <f>'[4]60'!$C$16</f>
        <v>7514766.1278689997</v>
      </c>
      <c r="E16" s="41">
        <f t="shared" si="0"/>
        <v>148.89068780859373</v>
      </c>
    </row>
    <row r="17" spans="1:11" ht="15.75">
      <c r="A17" s="5">
        <v>6</v>
      </c>
      <c r="B17" s="429" t="s">
        <v>12</v>
      </c>
      <c r="C17" s="320">
        <v>0</v>
      </c>
      <c r="D17" s="320">
        <f>'[4]60'!$C$21</f>
        <v>675018.55930399999</v>
      </c>
      <c r="E17" s="41"/>
    </row>
    <row r="18" spans="1:11" ht="15.75" hidden="1">
      <c r="A18" s="5">
        <v>7</v>
      </c>
      <c r="B18" s="83" t="s">
        <v>40</v>
      </c>
      <c r="C18" s="320">
        <v>0</v>
      </c>
      <c r="D18" s="320"/>
      <c r="E18" s="41"/>
    </row>
    <row r="19" spans="1:11" ht="15.75" hidden="1">
      <c r="A19" s="5">
        <v>8</v>
      </c>
      <c r="B19" s="83" t="s">
        <v>1106</v>
      </c>
      <c r="C19" s="320"/>
      <c r="D19" s="320"/>
      <c r="E19" s="41"/>
    </row>
    <row r="20" spans="1:11" ht="15.75" hidden="1">
      <c r="A20" s="5">
        <v>9</v>
      </c>
      <c r="B20" s="83" t="s">
        <v>1198</v>
      </c>
      <c r="C20" s="320"/>
      <c r="D20" s="320"/>
      <c r="E20" s="41"/>
    </row>
    <row r="21" spans="1:11" ht="15.75">
      <c r="A21" s="20" t="s">
        <v>5</v>
      </c>
      <c r="B21" s="4" t="s">
        <v>36</v>
      </c>
      <c r="C21" s="322" t="e">
        <f>C22+C23+C26+C27</f>
        <v>#REF!</v>
      </c>
      <c r="D21" s="322">
        <f>D22+D23+D26+D27</f>
        <v>20076127.446691997</v>
      </c>
      <c r="E21" s="104" t="e">
        <f t="shared" si="0"/>
        <v>#REF!</v>
      </c>
      <c r="F21" s="84">
        <f>+'[3]60'!$H$9</f>
        <v>8</v>
      </c>
      <c r="G21" s="85">
        <f>+F21-D21</f>
        <v>-20076119.446691997</v>
      </c>
      <c r="H21" s="377">
        <f>+D21-D23</f>
        <v>12421262.194996998</v>
      </c>
      <c r="I21" s="378" t="s">
        <v>1503</v>
      </c>
    </row>
    <row r="22" spans="1:11" ht="15.75">
      <c r="A22" s="5">
        <v>1</v>
      </c>
      <c r="B22" s="3" t="s">
        <v>106</v>
      </c>
      <c r="C22" s="320" t="e">
        <f>#REF!</f>
        <v>#REF!</v>
      </c>
      <c r="D22" s="320">
        <f>'[4]60'!$H$12+'[4]60'!$H$14+'[4]60'!$H$15</f>
        <v>5426815.028363999</v>
      </c>
      <c r="E22" s="41" t="e">
        <f t="shared" si="0"/>
        <v>#REF!</v>
      </c>
      <c r="F22" s="84"/>
    </row>
    <row r="23" spans="1:11" ht="15.75">
      <c r="A23" s="5">
        <v>2</v>
      </c>
      <c r="B23" s="3" t="s">
        <v>37</v>
      </c>
      <c r="C23" s="320">
        <f>+C24+C25</f>
        <v>4673226</v>
      </c>
      <c r="D23" s="320">
        <f>D24+D25</f>
        <v>7654865.2516949996</v>
      </c>
      <c r="E23" s="41">
        <f t="shared" si="0"/>
        <v>163.80259058078937</v>
      </c>
      <c r="F23" s="85">
        <v>7654865.3016949994</v>
      </c>
      <c r="G23" s="85">
        <f>+F23-G21</f>
        <v>27730984.748386998</v>
      </c>
      <c r="I23" s="375"/>
    </row>
    <row r="24" spans="1:11" s="88" customFormat="1" ht="15.75">
      <c r="A24" s="86" t="s">
        <v>23</v>
      </c>
      <c r="B24" s="87" t="s">
        <v>38</v>
      </c>
      <c r="C24" s="321">
        <f>+'[4]62'!$D$50</f>
        <v>2775849</v>
      </c>
      <c r="D24" s="321">
        <v>2775849</v>
      </c>
      <c r="E24" s="41">
        <f t="shared" si="0"/>
        <v>100</v>
      </c>
      <c r="F24" s="210">
        <f>+C24-D24</f>
        <v>0</v>
      </c>
    </row>
    <row r="25" spans="1:11" s="88" customFormat="1" ht="15.75">
      <c r="A25" s="86" t="s">
        <v>23</v>
      </c>
      <c r="B25" s="87" t="s">
        <v>39</v>
      </c>
      <c r="C25" s="321">
        <f>+'[4]62'!$D$51</f>
        <v>1897377</v>
      </c>
      <c r="D25" s="321">
        <v>4879016.2516949996</v>
      </c>
      <c r="E25" s="41">
        <f t="shared" si="0"/>
        <v>257.14532492461962</v>
      </c>
    </row>
    <row r="26" spans="1:11" ht="15.75">
      <c r="A26" s="5">
        <v>3</v>
      </c>
      <c r="B26" s="3" t="s">
        <v>30</v>
      </c>
      <c r="C26" s="320">
        <v>0</v>
      </c>
      <c r="D26" s="320">
        <f>'[4]62'!$F$46</f>
        <v>6775672.8448209995</v>
      </c>
      <c r="E26" s="41"/>
    </row>
    <row r="27" spans="1:11" ht="15.75">
      <c r="A27" s="5">
        <v>4</v>
      </c>
      <c r="B27" s="3" t="s">
        <v>1104</v>
      </c>
      <c r="C27" s="320">
        <v>0</v>
      </c>
      <c r="D27" s="320">
        <f>'[4]60'!$H$18</f>
        <v>218774.32181200001</v>
      </c>
      <c r="E27" s="41"/>
    </row>
    <row r="28" spans="1:11" ht="31.5">
      <c r="A28" s="20" t="s">
        <v>6</v>
      </c>
      <c r="B28" s="4" t="s">
        <v>1101</v>
      </c>
      <c r="C28" s="322">
        <v>164458</v>
      </c>
      <c r="D28" s="322">
        <v>160000</v>
      </c>
      <c r="E28" s="41"/>
    </row>
    <row r="29" spans="1:11" ht="15.75">
      <c r="A29" s="20" t="s">
        <v>7</v>
      </c>
      <c r="B29" s="4" t="s">
        <v>1182</v>
      </c>
      <c r="C29" s="322">
        <v>0</v>
      </c>
      <c r="D29" s="324">
        <f>D9-D21-D28</f>
        <v>31902675.129726008</v>
      </c>
      <c r="E29" s="41"/>
      <c r="F29" s="85">
        <f>+'[4]60'!$C$23</f>
        <v>95830.579195003957</v>
      </c>
      <c r="G29" s="85">
        <f>+D29-F29</f>
        <v>31806844.550531004</v>
      </c>
    </row>
    <row r="30" spans="1:11" ht="15.75">
      <c r="A30" s="20" t="s">
        <v>4</v>
      </c>
      <c r="B30" s="4" t="s">
        <v>1346</v>
      </c>
      <c r="C30" s="320"/>
      <c r="D30" s="320"/>
      <c r="E30" s="41"/>
    </row>
    <row r="31" spans="1:11" ht="15.75">
      <c r="A31" s="20" t="s">
        <v>8</v>
      </c>
      <c r="B31" s="4" t="s">
        <v>33</v>
      </c>
      <c r="C31" s="322">
        <f>C32+C33+C36+C37+C38+C39</f>
        <v>9037775</v>
      </c>
      <c r="D31" s="322">
        <f>D32+D33+D36+D37+D38+D39</f>
        <v>54191871.878550991</v>
      </c>
      <c r="E31" s="104">
        <f t="shared" si="0"/>
        <v>599.61519155490134</v>
      </c>
      <c r="F31" s="99">
        <f>+'[3]60'!$D$9+'[3]60'!$E$9</f>
        <v>9</v>
      </c>
      <c r="G31" s="85">
        <f>+F31-D31</f>
        <v>-54191862.878550991</v>
      </c>
      <c r="H31" s="85"/>
      <c r="I31" s="376">
        <f>+D31-D38</f>
        <v>54173924.484006993</v>
      </c>
      <c r="J31" s="26" t="s">
        <v>1505</v>
      </c>
      <c r="K31" s="375">
        <f>+I31-I40</f>
        <v>33716097.029256001</v>
      </c>
    </row>
    <row r="32" spans="1:11" ht="15.75">
      <c r="A32" s="5">
        <v>1</v>
      </c>
      <c r="B32" s="3" t="s">
        <v>34</v>
      </c>
      <c r="C32" s="320">
        <f>3102549+130000</f>
        <v>3232549</v>
      </c>
      <c r="D32" s="320">
        <f>+'[3]60'!$D$10+'[3]60'!$E$10+'[3]60'!$D$11+'[3]60'!$E$11</f>
        <v>35736004.030397996</v>
      </c>
      <c r="E32" s="41">
        <f t="shared" si="0"/>
        <v>1105.5054085923523</v>
      </c>
      <c r="F32" s="85">
        <f>+D31-'60_NĐ31 Thu(Huyen, xa)'!C10</f>
        <v>38979700.268731996</v>
      </c>
      <c r="G32" s="85">
        <f>+D31-D33</f>
        <v>46537006.576855995</v>
      </c>
    </row>
    <row r="33" spans="1:10" ht="15.75">
      <c r="A33" s="5">
        <v>2</v>
      </c>
      <c r="B33" s="3" t="s">
        <v>10</v>
      </c>
      <c r="C33" s="320">
        <v>4673226</v>
      </c>
      <c r="D33" s="320">
        <f>D34+D35</f>
        <v>7654865.3016949994</v>
      </c>
      <c r="E33" s="41">
        <f t="shared" si="0"/>
        <v>163.80259165071408</v>
      </c>
    </row>
    <row r="34" spans="1:10" s="88" customFormat="1" ht="15.75">
      <c r="A34" s="86" t="s">
        <v>23</v>
      </c>
      <c r="B34" s="87" t="s">
        <v>24</v>
      </c>
      <c r="C34" s="321">
        <v>2775849</v>
      </c>
      <c r="D34" s="321">
        <f>+C34</f>
        <v>2775849</v>
      </c>
      <c r="E34" s="41">
        <f t="shared" si="0"/>
        <v>100</v>
      </c>
      <c r="F34" s="269">
        <f>+C34-D34</f>
        <v>0</v>
      </c>
    </row>
    <row r="35" spans="1:10" s="88" customFormat="1" ht="15.75">
      <c r="A35" s="86" t="s">
        <v>23</v>
      </c>
      <c r="B35" s="87" t="s">
        <v>25</v>
      </c>
      <c r="C35" s="321">
        <v>1897377</v>
      </c>
      <c r="D35" s="321">
        <f>'[4]60'!$D$20+'[4]60'!$E$20-D44-10072.95</f>
        <v>4879016.3016949994</v>
      </c>
      <c r="E35" s="41">
        <f t="shared" si="0"/>
        <v>257.14532755983657</v>
      </c>
    </row>
    <row r="36" spans="1:10" ht="15.75">
      <c r="A36" s="5">
        <v>3</v>
      </c>
      <c r="B36" s="3" t="s">
        <v>26</v>
      </c>
      <c r="C36" s="320"/>
      <c r="D36" s="320">
        <f>+'[3]60'!$D$13+'[3]60'!$E$13</f>
        <v>1961771.049412</v>
      </c>
      <c r="E36" s="41"/>
    </row>
    <row r="37" spans="1:10" ht="15.75">
      <c r="A37" s="5">
        <v>4</v>
      </c>
      <c r="B37" s="3" t="s">
        <v>27</v>
      </c>
      <c r="C37" s="320">
        <v>1132000</v>
      </c>
      <c r="D37" s="320">
        <f>'[4]60'!$D$16+'[4]60'!$E$16</f>
        <v>2292056.4194300002</v>
      </c>
      <c r="E37" s="41"/>
    </row>
    <row r="38" spans="1:10" ht="15.75">
      <c r="A38" s="5">
        <v>5</v>
      </c>
      <c r="B38" s="429" t="s">
        <v>12</v>
      </c>
      <c r="C38" s="320"/>
      <c r="D38" s="320">
        <f>'[4]60'!$D$21</f>
        <v>17947.394543999999</v>
      </c>
      <c r="E38" s="41"/>
    </row>
    <row r="39" spans="1:10" s="94" customFormat="1" ht="15.75" hidden="1">
      <c r="A39" s="90">
        <v>6</v>
      </c>
      <c r="B39" s="91" t="s">
        <v>1198</v>
      </c>
      <c r="C39" s="325"/>
      <c r="D39" s="323">
        <f>+'[3]60'!$D$20+'[3]60'!$E$20</f>
        <v>6529227.6830719998</v>
      </c>
      <c r="E39" s="93"/>
    </row>
    <row r="40" spans="1:10" ht="15.75">
      <c r="A40" s="20" t="s">
        <v>5</v>
      </c>
      <c r="B40" s="4" t="s">
        <v>36</v>
      </c>
      <c r="C40" s="322">
        <f>+C41+C42+C45+C46-C42</f>
        <v>9037775</v>
      </c>
      <c r="D40" s="322">
        <f>D41+D42+D45+D46-D42</f>
        <v>21150793.408598997</v>
      </c>
      <c r="E40" s="104">
        <f t="shared" si="0"/>
        <v>234.02655419723322</v>
      </c>
      <c r="F40" s="99">
        <f>+'[3]60'!$I$9+'[3]60'!$J$9</f>
        <v>19</v>
      </c>
      <c r="G40" s="85">
        <f>F40-D40</f>
        <v>-21150774.408598997</v>
      </c>
      <c r="H40" s="85">
        <f>+D40-D42</f>
        <v>18494963.376226999</v>
      </c>
      <c r="I40" s="376">
        <f>+D40-D46</f>
        <v>20457827.454750996</v>
      </c>
      <c r="J40" s="26" t="s">
        <v>1506</v>
      </c>
    </row>
    <row r="41" spans="1:10" ht="31.5">
      <c r="A41" s="5">
        <v>1</v>
      </c>
      <c r="B41" s="3" t="s">
        <v>1345</v>
      </c>
      <c r="C41" s="320">
        <v>9037775</v>
      </c>
      <c r="D41" s="320">
        <f>+'[3]60'!$I$10+'[3]60'!$J$10+'[3]60'!$I$12+'[3]60'!$J$12</f>
        <v>20457827.454751</v>
      </c>
      <c r="E41" s="41">
        <f t="shared" si="0"/>
        <v>226.35911443636294</v>
      </c>
      <c r="G41" s="85">
        <f>+G40-D42</f>
        <v>-23806604.440970995</v>
      </c>
    </row>
    <row r="42" spans="1:10" ht="15.75">
      <c r="A42" s="5">
        <v>2</v>
      </c>
      <c r="B42" s="3" t="s">
        <v>1102</v>
      </c>
      <c r="C42" s="320">
        <f>+C43+C44</f>
        <v>2655830.0323719997</v>
      </c>
      <c r="D42" s="320">
        <f>D43+D44</f>
        <v>2655830.0323719997</v>
      </c>
      <c r="E42" s="41">
        <f t="shared" si="0"/>
        <v>100</v>
      </c>
    </row>
    <row r="43" spans="1:10" s="88" customFormat="1" ht="15.75">
      <c r="A43" s="86" t="s">
        <v>23</v>
      </c>
      <c r="B43" s="87" t="s">
        <v>38</v>
      </c>
      <c r="C43" s="321">
        <f>'[4]62'!$G$50</f>
        <v>1015691.600995</v>
      </c>
      <c r="D43" s="321">
        <f>'[4]62'!$G$50</f>
        <v>1015691.600995</v>
      </c>
      <c r="E43" s="41">
        <f t="shared" si="0"/>
        <v>100</v>
      </c>
    </row>
    <row r="44" spans="1:10" s="88" customFormat="1" ht="15.75">
      <c r="A44" s="86" t="s">
        <v>23</v>
      </c>
      <c r="B44" s="87" t="s">
        <v>39</v>
      </c>
      <c r="C44" s="321">
        <f>'[4]62'!$G$51</f>
        <v>1640138.4313769999</v>
      </c>
      <c r="D44" s="321">
        <f>'[4]62'!$G$51</f>
        <v>1640138.4313769999</v>
      </c>
      <c r="E44" s="41">
        <f t="shared" si="0"/>
        <v>100</v>
      </c>
    </row>
    <row r="45" spans="1:10" ht="15.75">
      <c r="A45" s="5">
        <v>3</v>
      </c>
      <c r="B45" s="3" t="s">
        <v>30</v>
      </c>
      <c r="C45" s="320">
        <v>0</v>
      </c>
      <c r="D45" s="320">
        <f>+'[3]60'!$I$15+'[3]60'!$J$15</f>
        <v>0</v>
      </c>
      <c r="E45" s="41"/>
    </row>
    <row r="46" spans="1:10" ht="15.75">
      <c r="A46" s="95">
        <v>4</v>
      </c>
      <c r="B46" s="3" t="s">
        <v>1104</v>
      </c>
      <c r="C46" s="326">
        <v>0</v>
      </c>
      <c r="D46" s="326">
        <f>'[4]60'!$I$18+'[4]60'!$J$18</f>
        <v>692965.95384800003</v>
      </c>
      <c r="E46" s="41"/>
    </row>
    <row r="47" spans="1:10" ht="15.75">
      <c r="A47" s="96" t="s">
        <v>6</v>
      </c>
      <c r="B47" s="97" t="s">
        <v>1347</v>
      </c>
      <c r="C47" s="327">
        <v>0</v>
      </c>
      <c r="D47" s="328">
        <f>D31-D40</f>
        <v>33041078.469951995</v>
      </c>
      <c r="E47" s="98"/>
      <c r="F47" s="99">
        <f>+D47+D29</f>
        <v>64943753.599678002</v>
      </c>
      <c r="G47" s="85">
        <f>+F47-D47</f>
        <v>31902675.129726008</v>
      </c>
    </row>
    <row r="48" spans="1:10" ht="15.75">
      <c r="A48" s="100"/>
    </row>
    <row r="49" spans="1:5" ht="15.75">
      <c r="A49" s="516"/>
      <c r="B49" s="516"/>
      <c r="C49" s="516"/>
      <c r="D49" s="516"/>
      <c r="E49" s="516"/>
    </row>
    <row r="50" spans="1:5">
      <c r="A50" s="101"/>
    </row>
    <row r="51" spans="1:5">
      <c r="A51" s="101"/>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8934CC-2C1F-474D-BE1B-452B3300D2E6}"/>
</file>

<file path=customXml/itemProps2.xml><?xml version="1.0" encoding="utf-8"?>
<ds:datastoreItem xmlns:ds="http://schemas.openxmlformats.org/officeDocument/2006/customXml" ds:itemID="{FDE4574D-1B02-4985-A019-8E5DB77EC7A4}"/>
</file>

<file path=customXml/itemProps3.xml><?xml version="1.0" encoding="utf-8"?>
<ds:datastoreItem xmlns:ds="http://schemas.openxmlformats.org/officeDocument/2006/customXml" ds:itemID="{193C7CEC-0A0E-4127-A4A0-ABCC4559FE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24</vt:i4>
      </vt:variant>
    </vt:vector>
  </HeadingPairs>
  <TitlesOfParts>
    <vt:vector size="38" baseType="lpstr">
      <vt:lpstr>BIEU 64-NĐ31_HCSN</vt:lpstr>
      <vt:lpstr>63-NDD31_TCDN</vt:lpstr>
      <vt:lpstr> 62_NĐ31_</vt:lpstr>
      <vt:lpstr>60_NĐ31 Thu(Huyen, xa)</vt:lpstr>
      <vt:lpstr>67</vt:lpstr>
      <vt:lpstr>57_NĐ31</vt:lpstr>
      <vt:lpstr>56_NĐ31</vt:lpstr>
      <vt:lpstr>Bieu mau 55-NĐ31</vt:lpstr>
      <vt:lpstr>49_NĐ31</vt:lpstr>
      <vt:lpstr>Quan he giua cac bieu</vt:lpstr>
      <vt:lpstr>Muc tieu</vt:lpstr>
      <vt:lpstr>Cơ cấu DT</vt:lpstr>
      <vt:lpstr>Chi tư nguon CCTL_tinh</vt:lpstr>
      <vt:lpstr>So lieu dieu chinh</vt:lpstr>
      <vt:lpstr>'49_NĐ31'!chuong_phuluc_49</vt:lpstr>
      <vt:lpstr>'49_NĐ31'!chuong_phuluc_49_name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'67'!chuong_phuluc_59_name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'67'!Print_Titles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2019-01-09T00:39:55Z</cp:lastPrinted>
  <dcterms:created xsi:type="dcterms:W3CDTF">2017-09-28T03:09:11Z</dcterms:created>
  <dcterms:modified xsi:type="dcterms:W3CDTF">2020-06-10T07:05:58Z</dcterms:modified>
</cp:coreProperties>
</file>