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ÔNG KHAI\quyết toán đã đc HĐND Quyết định\Quyết toán 2017\"/>
    </mc:Choice>
  </mc:AlternateContent>
  <bookViews>
    <workbookView xWindow="480" yWindow="360" windowWidth="19815" windowHeight="7650"/>
  </bookViews>
  <sheets>
    <sheet name="bao cao" sheetId="5" r:id="rId1"/>
  </sheets>
  <definedNames>
    <definedName name="_xlnm.Print_Titles" localSheetId="0">'bao cao'!$6:$10</definedName>
  </definedNames>
  <calcPr calcId="152511"/>
</workbook>
</file>

<file path=xl/calcChain.xml><?xml version="1.0" encoding="utf-8"?>
<calcChain xmlns="http://schemas.openxmlformats.org/spreadsheetml/2006/main">
  <c r="D126" i="5" l="1"/>
  <c r="E126" i="5"/>
  <c r="E70" i="5" s="1"/>
  <c r="F126" i="5"/>
  <c r="F70" i="5" s="1"/>
  <c r="G126" i="5"/>
  <c r="G70" i="5" s="1"/>
  <c r="I126" i="5"/>
  <c r="I70" i="5" s="1"/>
  <c r="J126" i="5"/>
  <c r="J70" i="5" s="1"/>
  <c r="K126" i="5"/>
  <c r="K70" i="5" s="1"/>
  <c r="M126" i="5"/>
  <c r="N126" i="5"/>
  <c r="N70" i="5" s="1"/>
  <c r="O126" i="5"/>
  <c r="O70" i="5" s="1"/>
  <c r="P126" i="5"/>
  <c r="P70" i="5" s="1"/>
  <c r="R126" i="5"/>
  <c r="R70" i="5" s="1"/>
  <c r="S126" i="5"/>
  <c r="S70" i="5" s="1"/>
  <c r="D21" i="5"/>
  <c r="M70" i="5" l="1"/>
  <c r="M32" i="5"/>
  <c r="D23" i="5"/>
  <c r="N23" i="5"/>
  <c r="N26" i="5"/>
  <c r="M33" i="5"/>
  <c r="D30" i="5"/>
  <c r="M30" i="5"/>
  <c r="D26" i="5"/>
  <c r="D106" i="5"/>
  <c r="M106" i="5"/>
  <c r="D105" i="5"/>
  <c r="M105" i="5"/>
  <c r="D103" i="5"/>
  <c r="D70" i="5" s="1"/>
  <c r="M103" i="5"/>
  <c r="N31" i="5" l="1"/>
  <c r="N13" i="5"/>
  <c r="Q34" i="5" l="1"/>
  <c r="E49" i="5"/>
  <c r="E48" i="5"/>
  <c r="E32" i="5"/>
  <c r="E31" i="5"/>
  <c r="E30" i="5"/>
  <c r="J35" i="5"/>
  <c r="S27" i="5"/>
  <c r="J27" i="5"/>
  <c r="S35" i="5"/>
  <c r="S12" i="5" l="1"/>
  <c r="Q69" i="5" l="1"/>
  <c r="H69" i="5"/>
  <c r="Q125" i="5"/>
  <c r="L125" i="5" s="1"/>
  <c r="Q124" i="5"/>
  <c r="L124" i="5" s="1"/>
  <c r="H124" i="5"/>
  <c r="C124" i="5" s="1"/>
  <c r="H125" i="5"/>
  <c r="C125" i="5" s="1"/>
  <c r="Q123" i="5"/>
  <c r="L123" i="5" s="1"/>
  <c r="H123" i="5"/>
  <c r="C123" i="5" s="1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C122" i="5" s="1"/>
  <c r="H127" i="5"/>
  <c r="H128" i="5"/>
  <c r="H129" i="5"/>
  <c r="H130" i="5"/>
  <c r="H131" i="5"/>
  <c r="H132" i="5"/>
  <c r="H133" i="5"/>
  <c r="H134" i="5"/>
  <c r="H135" i="5"/>
  <c r="H92" i="5"/>
  <c r="Q92" i="5"/>
  <c r="Q93" i="5"/>
  <c r="Q94" i="5"/>
  <c r="Q95" i="5"/>
  <c r="Q96" i="5"/>
  <c r="Q97" i="5"/>
  <c r="Q98" i="5"/>
  <c r="Q99" i="5"/>
  <c r="Q100" i="5"/>
  <c r="Q101" i="5"/>
  <c r="Q102" i="5"/>
  <c r="L102" i="5" s="1"/>
  <c r="Q103" i="5"/>
  <c r="L103" i="5" s="1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L118" i="5" s="1"/>
  <c r="Q119" i="5"/>
  <c r="Q120" i="5"/>
  <c r="Q121" i="5"/>
  <c r="Q122" i="5"/>
  <c r="L122" i="5" s="1"/>
  <c r="Q127" i="5"/>
  <c r="Q128" i="5"/>
  <c r="Q129" i="5"/>
  <c r="Q130" i="5"/>
  <c r="Q131" i="5"/>
  <c r="Q132" i="5"/>
  <c r="Q133" i="5"/>
  <c r="Q134" i="5"/>
  <c r="Q135" i="5"/>
  <c r="Q126" i="5" s="1"/>
  <c r="H126" i="5" l="1"/>
  <c r="L69" i="5"/>
  <c r="V22" i="5" l="1"/>
  <c r="V23" i="5"/>
  <c r="V26" i="5"/>
  <c r="V27" i="5"/>
  <c r="V30" i="5"/>
  <c r="V32" i="5"/>
  <c r="V33" i="5"/>
  <c r="V35" i="5"/>
  <c r="V69" i="5"/>
  <c r="V72" i="5"/>
  <c r="V73" i="5"/>
  <c r="V74" i="5"/>
  <c r="V76" i="5"/>
  <c r="V83" i="5"/>
  <c r="V85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7" i="5"/>
  <c r="V128" i="5"/>
  <c r="V129" i="5"/>
  <c r="V130" i="5"/>
  <c r="V131" i="5"/>
  <c r="V132" i="5"/>
  <c r="V133" i="5"/>
  <c r="V134" i="5"/>
  <c r="V135" i="5"/>
  <c r="V13" i="5"/>
  <c r="T18" i="5"/>
  <c r="T36" i="5"/>
  <c r="T12" i="5" s="1"/>
  <c r="T44" i="5"/>
  <c r="T49" i="5"/>
  <c r="T56" i="5"/>
  <c r="T67" i="5"/>
  <c r="T60" i="5" s="1"/>
  <c r="T70" i="5"/>
  <c r="L92" i="5"/>
  <c r="L93" i="5"/>
  <c r="L94" i="5"/>
  <c r="L95" i="5"/>
  <c r="L96" i="5"/>
  <c r="L97" i="5"/>
  <c r="L98" i="5"/>
  <c r="L99" i="5"/>
  <c r="L100" i="5"/>
  <c r="L101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9" i="5"/>
  <c r="L120" i="5"/>
  <c r="L121" i="5"/>
  <c r="L127" i="5"/>
  <c r="L128" i="5"/>
  <c r="L129" i="5"/>
  <c r="L130" i="5"/>
  <c r="L131" i="5"/>
  <c r="L132" i="5"/>
  <c r="L133" i="5"/>
  <c r="L134" i="5"/>
  <c r="L135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7" i="5"/>
  <c r="C128" i="5"/>
  <c r="C129" i="5"/>
  <c r="C130" i="5"/>
  <c r="C131" i="5"/>
  <c r="C132" i="5"/>
  <c r="C133" i="5"/>
  <c r="C134" i="5"/>
  <c r="C135" i="5"/>
  <c r="C69" i="5"/>
  <c r="V70" i="5"/>
  <c r="F67" i="5"/>
  <c r="G67" i="5"/>
  <c r="I67" i="5"/>
  <c r="J67" i="5"/>
  <c r="K67" i="5"/>
  <c r="M67" i="5"/>
  <c r="N67" i="5"/>
  <c r="O67" i="5"/>
  <c r="P67" i="5"/>
  <c r="R67" i="5"/>
  <c r="S67" i="5"/>
  <c r="D67" i="5"/>
  <c r="E67" i="5"/>
  <c r="L126" i="5" l="1"/>
  <c r="T39" i="5"/>
  <c r="T11" i="5" s="1"/>
  <c r="C126" i="5"/>
  <c r="V67" i="5"/>
  <c r="W14" i="5"/>
  <c r="W15" i="5"/>
  <c r="W16" i="5"/>
  <c r="W17" i="5"/>
  <c r="W18" i="5"/>
  <c r="W19" i="5"/>
  <c r="W20" i="5"/>
  <c r="W21" i="5"/>
  <c r="W22" i="5"/>
  <c r="W23" i="5"/>
  <c r="W24" i="5"/>
  <c r="W25" i="5"/>
  <c r="W28" i="5"/>
  <c r="W29" i="5"/>
  <c r="W36" i="5"/>
  <c r="W38" i="5"/>
  <c r="W40" i="5"/>
  <c r="W42" i="5"/>
  <c r="W44" i="5"/>
  <c r="W45" i="5"/>
  <c r="W46" i="5"/>
  <c r="W47" i="5"/>
  <c r="W50" i="5"/>
  <c r="W51" i="5"/>
  <c r="W52" i="5"/>
  <c r="W53" i="5"/>
  <c r="W54" i="5"/>
  <c r="W55" i="5"/>
  <c r="W56" i="5"/>
  <c r="W60" i="5"/>
  <c r="W62" i="5"/>
  <c r="W63" i="5"/>
  <c r="W64" i="5"/>
  <c r="W65" i="5"/>
  <c r="W66" i="5"/>
  <c r="W68" i="5"/>
  <c r="W71" i="5"/>
  <c r="W72" i="5"/>
  <c r="W73" i="5"/>
  <c r="W74" i="5"/>
  <c r="W75" i="5"/>
  <c r="W76" i="5"/>
  <c r="W77" i="5"/>
  <c r="W78" i="5"/>
  <c r="W79" i="5"/>
  <c r="W80" i="5"/>
  <c r="W82" i="5"/>
  <c r="W83" i="5"/>
  <c r="W84" i="5"/>
  <c r="W85" i="5"/>
  <c r="E13" i="5" l="1"/>
  <c r="W13" i="5" s="1"/>
  <c r="E39" i="5"/>
  <c r="F44" i="5"/>
  <c r="G44" i="5"/>
  <c r="I44" i="5"/>
  <c r="D49" i="5"/>
  <c r="F49" i="5"/>
  <c r="G49" i="5"/>
  <c r="I49" i="5"/>
  <c r="H49" i="5" s="1"/>
  <c r="H14" i="5"/>
  <c r="C14" i="5" s="1"/>
  <c r="H15" i="5"/>
  <c r="H16" i="5"/>
  <c r="C16" i="5" s="1"/>
  <c r="H17" i="5"/>
  <c r="C17" i="5" s="1"/>
  <c r="H19" i="5"/>
  <c r="C19" i="5" s="1"/>
  <c r="H20" i="5"/>
  <c r="C20" i="5" s="1"/>
  <c r="H21" i="5"/>
  <c r="C21" i="5" s="1"/>
  <c r="H22" i="5"/>
  <c r="C22" i="5" s="1"/>
  <c r="H23" i="5"/>
  <c r="C23" i="5" s="1"/>
  <c r="H24" i="5"/>
  <c r="C24" i="5" s="1"/>
  <c r="H25" i="5"/>
  <c r="C25" i="5" s="1"/>
  <c r="H28" i="5"/>
  <c r="C28" i="5" s="1"/>
  <c r="H29" i="5"/>
  <c r="C29" i="5" s="1"/>
  <c r="H33" i="5"/>
  <c r="C33" i="5" s="1"/>
  <c r="H34" i="5"/>
  <c r="C34" i="5" s="1"/>
  <c r="H37" i="5"/>
  <c r="C37" i="5" s="1"/>
  <c r="H38" i="5"/>
  <c r="C38" i="5" s="1"/>
  <c r="H40" i="5"/>
  <c r="C40" i="5" s="1"/>
  <c r="H42" i="5"/>
  <c r="C42" i="5" s="1"/>
  <c r="H43" i="5"/>
  <c r="C43" i="5" s="1"/>
  <c r="H46" i="5"/>
  <c r="C46" i="5" s="1"/>
  <c r="H47" i="5"/>
  <c r="C47" i="5" s="1"/>
  <c r="H48" i="5"/>
  <c r="C48" i="5" s="1"/>
  <c r="H50" i="5"/>
  <c r="C50" i="5" s="1"/>
  <c r="H51" i="5"/>
  <c r="C51" i="5" s="1"/>
  <c r="H52" i="5"/>
  <c r="C52" i="5" s="1"/>
  <c r="H53" i="5"/>
  <c r="C53" i="5" s="1"/>
  <c r="H54" i="5"/>
  <c r="C54" i="5" s="1"/>
  <c r="H55" i="5"/>
  <c r="C55" i="5" s="1"/>
  <c r="H57" i="5"/>
  <c r="C57" i="5" s="1"/>
  <c r="H58" i="5"/>
  <c r="C58" i="5" s="1"/>
  <c r="H59" i="5"/>
  <c r="C59" i="5" s="1"/>
  <c r="H80" i="5"/>
  <c r="C80" i="5" s="1"/>
  <c r="H61" i="5"/>
  <c r="C61" i="5" s="1"/>
  <c r="H62" i="5"/>
  <c r="C62" i="5" s="1"/>
  <c r="H63" i="5"/>
  <c r="C63" i="5" s="1"/>
  <c r="H64" i="5"/>
  <c r="C64" i="5" s="1"/>
  <c r="H66" i="5"/>
  <c r="C66" i="5" s="1"/>
  <c r="H68" i="5"/>
  <c r="H71" i="5"/>
  <c r="H72" i="5"/>
  <c r="C72" i="5" s="1"/>
  <c r="H73" i="5"/>
  <c r="C73" i="5" s="1"/>
  <c r="H74" i="5"/>
  <c r="C74" i="5" s="1"/>
  <c r="H75" i="5"/>
  <c r="C75" i="5" s="1"/>
  <c r="H76" i="5"/>
  <c r="C76" i="5" s="1"/>
  <c r="H77" i="5"/>
  <c r="C77" i="5" s="1"/>
  <c r="H78" i="5"/>
  <c r="C78" i="5" s="1"/>
  <c r="H79" i="5"/>
  <c r="C79" i="5" s="1"/>
  <c r="H81" i="5"/>
  <c r="C81" i="5" s="1"/>
  <c r="H82" i="5"/>
  <c r="C82" i="5" s="1"/>
  <c r="H45" i="5"/>
  <c r="C45" i="5" s="1"/>
  <c r="H83" i="5"/>
  <c r="C83" i="5" s="1"/>
  <c r="H84" i="5"/>
  <c r="C84" i="5" s="1"/>
  <c r="H85" i="5"/>
  <c r="C85" i="5" s="1"/>
  <c r="H65" i="5"/>
  <c r="C65" i="5" s="1"/>
  <c r="H86" i="5"/>
  <c r="C86" i="5" s="1"/>
  <c r="H87" i="5"/>
  <c r="C87" i="5" s="1"/>
  <c r="H88" i="5"/>
  <c r="C88" i="5" s="1"/>
  <c r="H89" i="5"/>
  <c r="C89" i="5" s="1"/>
  <c r="H90" i="5"/>
  <c r="C90" i="5" s="1"/>
  <c r="H91" i="5"/>
  <c r="C91" i="5" s="1"/>
  <c r="H13" i="5"/>
  <c r="H32" i="5"/>
  <c r="C32" i="5" s="1"/>
  <c r="H41" i="5"/>
  <c r="H35" i="5"/>
  <c r="C35" i="5" s="1"/>
  <c r="H31" i="5"/>
  <c r="C31" i="5" s="1"/>
  <c r="H30" i="5"/>
  <c r="C30" i="5" s="1"/>
  <c r="H27" i="5"/>
  <c r="C27" i="5" s="1"/>
  <c r="H26" i="5"/>
  <c r="C26" i="5" s="1"/>
  <c r="F60" i="5"/>
  <c r="N49" i="5"/>
  <c r="W49" i="5" s="1"/>
  <c r="N48" i="5"/>
  <c r="W48" i="5" s="1"/>
  <c r="N43" i="5"/>
  <c r="W43" i="5" s="1"/>
  <c r="N41" i="5"/>
  <c r="W41" i="5" s="1"/>
  <c r="N37" i="5"/>
  <c r="N35" i="5"/>
  <c r="W35" i="5" s="1"/>
  <c r="N34" i="5"/>
  <c r="W34" i="5" s="1"/>
  <c r="N33" i="5"/>
  <c r="W33" i="5" s="1"/>
  <c r="N32" i="5"/>
  <c r="W32" i="5" s="1"/>
  <c r="W31" i="5"/>
  <c r="W30" i="5"/>
  <c r="N27" i="5"/>
  <c r="W26" i="5"/>
  <c r="Q14" i="5"/>
  <c r="L14" i="5" s="1"/>
  <c r="Q15" i="5"/>
  <c r="Q16" i="5"/>
  <c r="L16" i="5" s="1"/>
  <c r="Q17" i="5"/>
  <c r="L17" i="5" s="1"/>
  <c r="Q19" i="5"/>
  <c r="L19" i="5" s="1"/>
  <c r="Q20" i="5"/>
  <c r="L20" i="5" s="1"/>
  <c r="Q21" i="5"/>
  <c r="L21" i="5" s="1"/>
  <c r="Q22" i="5"/>
  <c r="L22" i="5" s="1"/>
  <c r="Q23" i="5"/>
  <c r="L23" i="5" s="1"/>
  <c r="Q24" i="5"/>
  <c r="L24" i="5" s="1"/>
  <c r="Q25" i="5"/>
  <c r="L25" i="5" s="1"/>
  <c r="Q26" i="5"/>
  <c r="Q27" i="5"/>
  <c r="Q28" i="5"/>
  <c r="L28" i="5" s="1"/>
  <c r="Q29" i="5"/>
  <c r="L29" i="5" s="1"/>
  <c r="Q30" i="5"/>
  <c r="Q31" i="5"/>
  <c r="Q32" i="5"/>
  <c r="Q33" i="5"/>
  <c r="Q35" i="5"/>
  <c r="Q37" i="5"/>
  <c r="Q38" i="5"/>
  <c r="L38" i="5" s="1"/>
  <c r="Q40" i="5"/>
  <c r="L40" i="5" s="1"/>
  <c r="Q41" i="5"/>
  <c r="Q42" i="5"/>
  <c r="L42" i="5" s="1"/>
  <c r="Q43" i="5"/>
  <c r="Q46" i="5"/>
  <c r="L46" i="5" s="1"/>
  <c r="Q47" i="5"/>
  <c r="L47" i="5" s="1"/>
  <c r="Q48" i="5"/>
  <c r="Q50" i="5"/>
  <c r="L50" i="5" s="1"/>
  <c r="Q51" i="5"/>
  <c r="L51" i="5" s="1"/>
  <c r="Q52" i="5"/>
  <c r="L52" i="5" s="1"/>
  <c r="Q53" i="5"/>
  <c r="L53" i="5" s="1"/>
  <c r="Q54" i="5"/>
  <c r="L54" i="5" s="1"/>
  <c r="Q55" i="5"/>
  <c r="L55" i="5" s="1"/>
  <c r="Q57" i="5"/>
  <c r="L57" i="5" s="1"/>
  <c r="Q58" i="5"/>
  <c r="L58" i="5" s="1"/>
  <c r="Q59" i="5"/>
  <c r="L59" i="5" s="1"/>
  <c r="Q80" i="5"/>
  <c r="L80" i="5" s="1"/>
  <c r="Q61" i="5"/>
  <c r="L61" i="5" s="1"/>
  <c r="Q62" i="5"/>
  <c r="L62" i="5" s="1"/>
  <c r="Q63" i="5"/>
  <c r="L63" i="5" s="1"/>
  <c r="Q64" i="5"/>
  <c r="L64" i="5" s="1"/>
  <c r="Q66" i="5"/>
  <c r="L66" i="5" s="1"/>
  <c r="Q68" i="5"/>
  <c r="Q67" i="5" s="1"/>
  <c r="Q71" i="5"/>
  <c r="Q72" i="5"/>
  <c r="L72" i="5" s="1"/>
  <c r="Q73" i="5"/>
  <c r="L73" i="5" s="1"/>
  <c r="Q74" i="5"/>
  <c r="L74" i="5" s="1"/>
  <c r="Q75" i="5"/>
  <c r="L75" i="5" s="1"/>
  <c r="Q76" i="5"/>
  <c r="L76" i="5" s="1"/>
  <c r="Q77" i="5"/>
  <c r="L77" i="5" s="1"/>
  <c r="Q78" i="5"/>
  <c r="L78" i="5" s="1"/>
  <c r="Q79" i="5"/>
  <c r="L79" i="5" s="1"/>
  <c r="Q81" i="5"/>
  <c r="L81" i="5" s="1"/>
  <c r="Q82" i="5"/>
  <c r="L82" i="5" s="1"/>
  <c r="Q45" i="5"/>
  <c r="L45" i="5" s="1"/>
  <c r="Q83" i="5"/>
  <c r="L83" i="5" s="1"/>
  <c r="Q84" i="5"/>
  <c r="L84" i="5" s="1"/>
  <c r="Q85" i="5"/>
  <c r="L85" i="5" s="1"/>
  <c r="Q65" i="5"/>
  <c r="L65" i="5" s="1"/>
  <c r="Q86" i="5"/>
  <c r="L86" i="5" s="1"/>
  <c r="Q87" i="5"/>
  <c r="L87" i="5" s="1"/>
  <c r="Q88" i="5"/>
  <c r="L88" i="5" s="1"/>
  <c r="Q89" i="5"/>
  <c r="Q90" i="5"/>
  <c r="Q91" i="5"/>
  <c r="Q13" i="5"/>
  <c r="L13" i="5" s="1"/>
  <c r="K56" i="5"/>
  <c r="I56" i="5"/>
  <c r="H56" i="5" s="1"/>
  <c r="G56" i="5"/>
  <c r="F56" i="5"/>
  <c r="D56" i="5"/>
  <c r="K49" i="5"/>
  <c r="K44" i="5"/>
  <c r="K36" i="5"/>
  <c r="I36" i="5"/>
  <c r="H36" i="5" s="1"/>
  <c r="G36" i="5"/>
  <c r="F36" i="5"/>
  <c r="D36" i="5"/>
  <c r="K18" i="5"/>
  <c r="H18" i="5"/>
  <c r="G18" i="5"/>
  <c r="F18" i="5"/>
  <c r="D15" i="5"/>
  <c r="S56" i="5"/>
  <c r="S39" i="5" s="1"/>
  <c r="R56" i="5"/>
  <c r="P56" i="5"/>
  <c r="O56" i="5"/>
  <c r="M56" i="5"/>
  <c r="R49" i="5"/>
  <c r="Q49" i="5" s="1"/>
  <c r="P49" i="5"/>
  <c r="O49" i="5"/>
  <c r="M49" i="5"/>
  <c r="R44" i="5"/>
  <c r="P44" i="5"/>
  <c r="O44" i="5"/>
  <c r="M44" i="5"/>
  <c r="R36" i="5"/>
  <c r="P36" i="5"/>
  <c r="O36" i="5"/>
  <c r="M36" i="5"/>
  <c r="Q18" i="5"/>
  <c r="P18" i="5"/>
  <c r="O18" i="5"/>
  <c r="M12" i="5"/>
  <c r="W27" i="5" l="1"/>
  <c r="N12" i="5"/>
  <c r="H70" i="5"/>
  <c r="Q70" i="5"/>
  <c r="U85" i="5"/>
  <c r="U82" i="5"/>
  <c r="U77" i="5"/>
  <c r="U73" i="5"/>
  <c r="U66" i="5"/>
  <c r="U52" i="5"/>
  <c r="U47" i="5"/>
  <c r="D39" i="5"/>
  <c r="Z26" i="5"/>
  <c r="C71" i="5"/>
  <c r="C70" i="5" s="1"/>
  <c r="L71" i="5"/>
  <c r="C68" i="5"/>
  <c r="C67" i="5" s="1"/>
  <c r="H67" i="5"/>
  <c r="D12" i="5"/>
  <c r="U40" i="5"/>
  <c r="U38" i="5"/>
  <c r="U29" i="5"/>
  <c r="U23" i="5"/>
  <c r="U19" i="5"/>
  <c r="U14" i="5"/>
  <c r="E12" i="5"/>
  <c r="E11" i="5" s="1"/>
  <c r="Z27" i="5"/>
  <c r="Z41" i="5"/>
  <c r="U84" i="5"/>
  <c r="U76" i="5"/>
  <c r="U72" i="5"/>
  <c r="U64" i="5"/>
  <c r="U80" i="5"/>
  <c r="U55" i="5"/>
  <c r="U51" i="5"/>
  <c r="U46" i="5"/>
  <c r="F12" i="5"/>
  <c r="W67" i="5"/>
  <c r="U79" i="5"/>
  <c r="Z34" i="5"/>
  <c r="Z49" i="5"/>
  <c r="U25" i="5"/>
  <c r="G60" i="5"/>
  <c r="G39" i="5" s="1"/>
  <c r="K60" i="5"/>
  <c r="K39" i="5" s="1"/>
  <c r="I39" i="5"/>
  <c r="Z33" i="5"/>
  <c r="U22" i="5"/>
  <c r="Z30" i="5"/>
  <c r="U17" i="5"/>
  <c r="U50" i="5"/>
  <c r="U21" i="5"/>
  <c r="Z90" i="5"/>
  <c r="U83" i="5"/>
  <c r="U75" i="5"/>
  <c r="U63" i="5"/>
  <c r="U54" i="5"/>
  <c r="Z43" i="5"/>
  <c r="W70" i="5"/>
  <c r="C15" i="5"/>
  <c r="L90" i="5"/>
  <c r="U90" i="5" s="1"/>
  <c r="L43" i="5"/>
  <c r="U43" i="5" s="1"/>
  <c r="L89" i="5"/>
  <c r="U89" i="5" s="1"/>
  <c r="Z89" i="5"/>
  <c r="U65" i="5"/>
  <c r="U45" i="5"/>
  <c r="U78" i="5"/>
  <c r="U74" i="5"/>
  <c r="U62" i="5"/>
  <c r="U53" i="5"/>
  <c r="L48" i="5"/>
  <c r="U48" i="5" s="1"/>
  <c r="Z48" i="5"/>
  <c r="U42" i="5"/>
  <c r="Z37" i="5"/>
  <c r="Z32" i="5"/>
  <c r="U28" i="5"/>
  <c r="U24" i="5"/>
  <c r="U20" i="5"/>
  <c r="P60" i="5"/>
  <c r="P39" i="5" s="1"/>
  <c r="M39" i="5"/>
  <c r="M11" i="5" s="1"/>
  <c r="L35" i="5"/>
  <c r="U35" i="5" s="1"/>
  <c r="Z35" i="5"/>
  <c r="L31" i="5"/>
  <c r="U31" i="5" s="1"/>
  <c r="Z31" i="5"/>
  <c r="L91" i="5"/>
  <c r="U91" i="5" s="1"/>
  <c r="Z91" i="5"/>
  <c r="R39" i="5"/>
  <c r="L27" i="5"/>
  <c r="U27" i="5" s="1"/>
  <c r="P12" i="5"/>
  <c r="L68" i="5"/>
  <c r="L67" i="5" s="1"/>
  <c r="S11" i="5"/>
  <c r="L34" i="5"/>
  <c r="U34" i="5" s="1"/>
  <c r="L30" i="5"/>
  <c r="U30" i="5" s="1"/>
  <c r="O60" i="5"/>
  <c r="O39" i="5" s="1"/>
  <c r="L18" i="5"/>
  <c r="C13" i="5"/>
  <c r="L49" i="5"/>
  <c r="Q56" i="5"/>
  <c r="L56" i="5" s="1"/>
  <c r="G12" i="5"/>
  <c r="K12" i="5"/>
  <c r="L32" i="5"/>
  <c r="U32" i="5" s="1"/>
  <c r="O12" i="5"/>
  <c r="C56" i="5"/>
  <c r="H44" i="5"/>
  <c r="C44" i="5" s="1"/>
  <c r="F39" i="5"/>
  <c r="C18" i="5"/>
  <c r="C36" i="5"/>
  <c r="L33" i="5"/>
  <c r="U33" i="5" s="1"/>
  <c r="R12" i="5"/>
  <c r="N39" i="5"/>
  <c r="W39" i="5" s="1"/>
  <c r="C49" i="5"/>
  <c r="I12" i="5"/>
  <c r="C41" i="5"/>
  <c r="J12" i="5"/>
  <c r="H12" i="5"/>
  <c r="J39" i="5"/>
  <c r="Q44" i="5"/>
  <c r="L44" i="5" s="1"/>
  <c r="L41" i="5"/>
  <c r="L37" i="5"/>
  <c r="U37" i="5" s="1"/>
  <c r="Q36" i="5"/>
  <c r="L36" i="5" s="1"/>
  <c r="L26" i="5"/>
  <c r="U26" i="5" s="1"/>
  <c r="L15" i="5"/>
  <c r="U16" i="5"/>
  <c r="L70" i="5" l="1"/>
  <c r="N11" i="5"/>
  <c r="D11" i="5"/>
  <c r="W11" i="5"/>
  <c r="V12" i="5"/>
  <c r="I11" i="5"/>
  <c r="L12" i="5"/>
  <c r="F11" i="5"/>
  <c r="U70" i="5"/>
  <c r="W12" i="5"/>
  <c r="U13" i="5"/>
  <c r="C12" i="5"/>
  <c r="U71" i="5"/>
  <c r="U68" i="5"/>
  <c r="U67" i="5"/>
  <c r="H60" i="5"/>
  <c r="C60" i="5" s="1"/>
  <c r="C39" i="5" s="1"/>
  <c r="U56" i="5"/>
  <c r="U15" i="5"/>
  <c r="G11" i="5"/>
  <c r="U44" i="5"/>
  <c r="U36" i="5"/>
  <c r="Q60" i="5"/>
  <c r="Q39" i="5" s="1"/>
  <c r="K11" i="5"/>
  <c r="U41" i="5"/>
  <c r="Z70" i="5"/>
  <c r="U49" i="5"/>
  <c r="U18" i="5"/>
  <c r="P11" i="5"/>
  <c r="J11" i="5"/>
  <c r="O11" i="5"/>
  <c r="Q12" i="5"/>
  <c r="Z12" i="5" s="1"/>
  <c r="R11" i="5"/>
  <c r="V11" i="5" l="1"/>
  <c r="L60" i="5"/>
  <c r="C11" i="5"/>
  <c r="H39" i="5"/>
  <c r="H11" i="5" s="1"/>
  <c r="U12" i="5"/>
  <c r="Q11" i="5"/>
  <c r="L39" i="5" l="1"/>
  <c r="U39" i="5" s="1"/>
  <c r="Z11" i="5"/>
  <c r="Z39" i="5"/>
  <c r="L11" i="5" l="1"/>
  <c r="U11" i="5" s="1"/>
</calcChain>
</file>

<file path=xl/sharedStrings.xml><?xml version="1.0" encoding="utf-8"?>
<sst xmlns="http://schemas.openxmlformats.org/spreadsheetml/2006/main" count="181" uniqueCount="154">
  <si>
    <t>STT</t>
  </si>
  <si>
    <t>Đơn vị</t>
  </si>
  <si>
    <t>Tổng số</t>
  </si>
  <si>
    <t>Quản lý nhà nước</t>
  </si>
  <si>
    <t>Không tự chủ</t>
  </si>
  <si>
    <t>B</t>
  </si>
  <si>
    <t>1=2+3+4</t>
  </si>
  <si>
    <t>4=5+8+11</t>
  </si>
  <si>
    <t>5=6+7</t>
  </si>
  <si>
    <t>Văn phòng UBND tỉnh</t>
  </si>
  <si>
    <t>Sở Ngoại vụ</t>
  </si>
  <si>
    <t>Sở Tư pháp</t>
  </si>
  <si>
    <t>Sở Công Thương</t>
  </si>
  <si>
    <t>Chi cục Quản lý Thị trường</t>
  </si>
  <si>
    <t>Sở Tài chính</t>
  </si>
  <si>
    <t>Sở Xây dựng</t>
  </si>
  <si>
    <t>Sở Giao thông vận tải</t>
  </si>
  <si>
    <t>Sở Giáo dục và đào tạo</t>
  </si>
  <si>
    <t>Sở Y tế</t>
  </si>
  <si>
    <t>A</t>
  </si>
  <si>
    <t>C</t>
  </si>
  <si>
    <t>D</t>
  </si>
  <si>
    <t>Thanh tra tỉnh</t>
  </si>
  <si>
    <t>Ban Dân tộc</t>
  </si>
  <si>
    <t>Hội Cựu chiến binh</t>
  </si>
  <si>
    <t>Hội Văn học nghệ thuật</t>
  </si>
  <si>
    <t>Hội Luật gia</t>
  </si>
  <si>
    <t>Hội Người cao tuổi</t>
  </si>
  <si>
    <t>Hội người mù</t>
  </si>
  <si>
    <t>Hội Nạn nhân chất độc da cam</t>
  </si>
  <si>
    <t>Hội Khuyến học</t>
  </si>
  <si>
    <t>Hội Làm vườn</t>
  </si>
  <si>
    <t>Trường Chính trị tỉnh</t>
  </si>
  <si>
    <t>Công an tỉnh</t>
  </si>
  <si>
    <t>Chi đầu tư phát triển(không kể chương trình mục tiêu quốc gia)</t>
  </si>
  <si>
    <t>Chi thường xuyên (không kể chương trình mục tiêu quốc gia)</t>
  </si>
  <si>
    <t>Chi trả nợ lãi các khoản do chính quyền địa phương vay</t>
  </si>
  <si>
    <t>Chi bổ sung quỹ dự trữ tài chính</t>
  </si>
  <si>
    <t>Chi CTMTQG</t>
  </si>
  <si>
    <t>Chi đầu tư</t>
  </si>
  <si>
    <t>Chi thường xuyên</t>
  </si>
  <si>
    <t>Chi chuyển nguồn ngân sách sang năm sau</t>
  </si>
  <si>
    <t>TỔNG SỐ</t>
  </si>
  <si>
    <t>Biểu số 66/CK-NSNN</t>
  </si>
  <si>
    <t>Tên đơn vị</t>
  </si>
  <si>
    <t>Dự toán</t>
  </si>
  <si>
    <t>Quyết toán</t>
  </si>
  <si>
    <t>Khối Quản lý Nhà nước</t>
  </si>
  <si>
    <t>Văn phòng đoàn ĐBQH &amp; HĐND tỉnh</t>
  </si>
  <si>
    <t>Hỗ trợ đoàn ĐBQH</t>
  </si>
  <si>
    <t>Sở Nội Vụ</t>
  </si>
  <si>
    <t>Sở Kế hoạch và Đầu tư</t>
  </si>
  <si>
    <t>BQL các khu CN</t>
  </si>
  <si>
    <t>Sở Khoa học &amp; công nghệ</t>
  </si>
  <si>
    <t>Thanh tra giao thông</t>
  </si>
  <si>
    <t>Sở Văn Hóa Thể thao và Du lịch</t>
  </si>
  <si>
    <t>Sở Lao động TB &amp;XH</t>
  </si>
  <si>
    <t>Sở Nông nghiệp và phát triển nông thôn</t>
  </si>
  <si>
    <t>Sở Tài Nguyên và Môi trường</t>
  </si>
  <si>
    <t>Sở Thông tin &amp; truyền thông</t>
  </si>
  <si>
    <t>Ban Bồi thường GPMB</t>
  </si>
  <si>
    <t>Văn phòng điều phối CT XD nông thôn mới</t>
  </si>
  <si>
    <t>Khối đoàn thể và hỗ trợ các hội</t>
  </si>
  <si>
    <t>UB Mặt trận tổ quốc tỉnh</t>
  </si>
  <si>
    <t>Hội Liên hiệp phụ nữ</t>
  </si>
  <si>
    <t>Hội Nông dân</t>
  </si>
  <si>
    <t>Tỉnh đoàn Thanh niên</t>
  </si>
  <si>
    <t xml:space="preserve">Hội Đông Y </t>
  </si>
  <si>
    <t>Hội chữ Thập đỏ</t>
  </si>
  <si>
    <t>Hội Nhà báo</t>
  </si>
  <si>
    <t>Hội cựu thanh niên xung phong</t>
  </si>
  <si>
    <t>Hội truyền thống trường sơn</t>
  </si>
  <si>
    <t>Hội Sinh vật cảnh</t>
  </si>
  <si>
    <t>Hội Hữu nghị Việt Nga</t>
  </si>
  <si>
    <t>Văn phòng ban ATGT</t>
  </si>
  <si>
    <t>Liên hiệp hội khoa học</t>
  </si>
  <si>
    <t>Hiệp Hội làng nghề</t>
  </si>
  <si>
    <t xml:space="preserve">Hội VHNT các dân tộc thiểu số </t>
  </si>
  <si>
    <t>Hội hữu nghị VN- Lào</t>
  </si>
  <si>
    <t>Hội Bảo trợ người tàn tật và trẻ mồ côi</t>
  </si>
  <si>
    <t xml:space="preserve">Hội Liên hiệp các tổ chức hữu nghị </t>
  </si>
  <si>
    <t>Khối Đảng</t>
  </si>
  <si>
    <t>Khối đảng</t>
  </si>
  <si>
    <t>Các đơn vị khác</t>
  </si>
  <si>
    <t>Đài Phát thanh truyền hình</t>
  </si>
  <si>
    <t>Trường CĐ y tế</t>
  </si>
  <si>
    <t>Trường CĐ sư phạm</t>
  </si>
  <si>
    <t>Trường CĐ Kinh tế TC</t>
  </si>
  <si>
    <t>Ban QL khu di tích LS Sinh Thái ATK</t>
  </si>
  <si>
    <t>TT DV và bảo tồn di tích ATK</t>
  </si>
  <si>
    <t>Trạm sơ cứu y tế (ATK)</t>
  </si>
  <si>
    <t>BQL khu du lịch vùng Hồ Núi cốc</t>
  </si>
  <si>
    <t>BQL các dự án ĐTXD DD và CN</t>
  </si>
  <si>
    <t>BQL các dự án ĐTXD các công trình nông nghiệp và PTNT</t>
  </si>
  <si>
    <t>Liên minh HTX tỉnh Thái Nguyên</t>
  </si>
  <si>
    <t>Trung tâm phát triển quỹ nhà đất và đầu tư XDCS hạ tầng</t>
  </si>
  <si>
    <t>Quỹ Phát triển đất</t>
  </si>
  <si>
    <t>UB Đoàn kết công giáo</t>
  </si>
  <si>
    <t>Tiểu ban khu vực Sông Cầu</t>
  </si>
  <si>
    <t xml:space="preserve">Ban chỉ huy phòng chống thiên tai và TKCN tỉnh </t>
  </si>
  <si>
    <t>TT Bảo trợ xã hội Hường Hà Nguyệt</t>
  </si>
  <si>
    <t>TT dạy nghề 20-10</t>
  </si>
  <si>
    <t>TT dạy nghề và hỗ trợ việc làm nông dân</t>
  </si>
  <si>
    <t>TT dạy nghề thanh niên</t>
  </si>
  <si>
    <t>Đơn vị tính: Triệu đồng</t>
  </si>
  <si>
    <t>QUYẾT TOÁN CHI NGÂN SÁCH CẤP TỈNH CHO TỪNG CƠ QUAN, TỔ CHỨC NĂM 2017</t>
  </si>
  <si>
    <t>So sánh</t>
  </si>
  <si>
    <t>Ban Bảo vệ, CSSK cán bộ tỉnh TN</t>
  </si>
  <si>
    <t>Bệnh viện A Thái Nguyên</t>
  </si>
  <si>
    <t>Bệnh viện đa khoa huyện Đồng Hỷ</t>
  </si>
  <si>
    <t>Bệnh viện đa khoa huyện Phổ Yên</t>
  </si>
  <si>
    <t>Bệnh viện đa khoa huyện Võ Nhai</t>
  </si>
  <si>
    <t>Bệnh viện Điều dưỡng và phục hồi chức năng</t>
  </si>
  <si>
    <t>Bệnh viện Gang thép</t>
  </si>
  <si>
    <t>Bệnh viện lao và bệnh phổi</t>
  </si>
  <si>
    <t>Bệnh viện tâm thần Thái Nguyên</t>
  </si>
  <si>
    <t>Bộ CHQS tỉnh</t>
  </si>
  <si>
    <t>BQL rừng ATK Định Hóa</t>
  </si>
  <si>
    <t>Chi cục PTNT Thái Nguyên</t>
  </si>
  <si>
    <t>Chi cục Thú y</t>
  </si>
  <si>
    <t>Chi cục Thủy lợi</t>
  </si>
  <si>
    <t>Công ty TNHH một thành viên thoát nước và PTHT đô thị Thái Nguyên</t>
  </si>
  <si>
    <t>Công ty TNHH MTV Khai thác thủy lợi</t>
  </si>
  <si>
    <t>Trung tâm chăm sóc sức khỏe sinh sản Thái Nguyên</t>
  </si>
  <si>
    <t>Trung tâm điều dưỡng và phục hồi chức năng thần kinh TN</t>
  </si>
  <si>
    <t>Trung tâm giống vật nuôi</t>
  </si>
  <si>
    <t>Trung tâm pháp y tỉnh TN</t>
  </si>
  <si>
    <t>Trung tâm thủy sản</t>
  </si>
  <si>
    <t>Trung tâm y tế huyện Đồng Hỷ</t>
  </si>
  <si>
    <t>Trung tâm y tế huyện Phú Lương</t>
  </si>
  <si>
    <t>Trung tâm y tế thành phố Thái Nguyên</t>
  </si>
  <si>
    <t>Trung tâm y tế thị xã Phổ Yên</t>
  </si>
  <si>
    <t>Trung tâm phòng chống HIV/AIDS tỉnh TN</t>
  </si>
  <si>
    <t>Trung tâm nước SH&amp;VSMT NT</t>
  </si>
  <si>
    <t>Trường Cao đẳng kinh tế tài chính Thái Nguyên</t>
  </si>
  <si>
    <t>Trưởng THPT Lương Ngọc Quyến</t>
  </si>
  <si>
    <t>Trường trung cấp nghề GTVT Thái Nguyên</t>
  </si>
  <si>
    <t>UBND huyện Đại Từ</t>
  </si>
  <si>
    <t>UBND huyện Định Hóa</t>
  </si>
  <si>
    <t>UBND huyện Đồng Hỷ</t>
  </si>
  <si>
    <t>UBND huyện Phú Bình</t>
  </si>
  <si>
    <t>UBND huyện Phú Lương</t>
  </si>
  <si>
    <t>UBND huyện Võ Nhai</t>
  </si>
  <si>
    <t>UBND thị xã Phổ Yên</t>
  </si>
  <si>
    <t>UBND TP Sông Công</t>
  </si>
  <si>
    <t>UBND TP Thái Nguyên</t>
  </si>
  <si>
    <t>Văn phòng Tỉnh ủy</t>
  </si>
  <si>
    <t>Bệnh viện đa khoa huyện Phú Bình</t>
  </si>
  <si>
    <t>Trung tâm bảo trợ xã hội tỉnh</t>
  </si>
  <si>
    <t>Chi cục kiểm lâm tỉnh</t>
  </si>
  <si>
    <t>BQL dự án năng lượng nông thôn II (REE II) tỉnh</t>
  </si>
  <si>
    <t>PHỤ BIỂU 05</t>
  </si>
  <si>
    <t>Đơn vị khác</t>
  </si>
  <si>
    <t>(Kèm theo Quyết định số  387/QĐ-UBND ngày 01/02/2019 của UBND tỉnh Thái Nguyên)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</si>
</sst>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"/>
    <numFmt numFmtId="165" formatCode="###\ ###\ ###\ ###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Times New Roman"/>
      <family val="1"/>
    </font>
    <font>
      <u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i/>
      <sz val="13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8" fillId="0" borderId="0"/>
    <xf numFmtId="0" fontId="12" fillId="0" borderId="0"/>
    <xf numFmtId="0" fontId="14" fillId="0" borderId="0" applyFont="0" applyFill="0" applyBorder="0" applyAlignment="0" applyProtection="0"/>
    <xf numFmtId="0" fontId="8" fillId="0" borderId="0"/>
    <xf numFmtId="9" fontId="2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5" fillId="0" borderId="0" xfId="1" applyFont="1"/>
    <xf numFmtId="164" fontId="5" fillId="0" borderId="0" xfId="1" applyNumberFormat="1" applyFont="1"/>
    <xf numFmtId="0" fontId="6" fillId="0" borderId="0" xfId="1" applyFont="1"/>
    <xf numFmtId="164" fontId="6" fillId="0" borderId="0" xfId="1" applyNumberFormat="1" applyFont="1"/>
    <xf numFmtId="0" fontId="1" fillId="0" borderId="0" xfId="0" applyFont="1"/>
    <xf numFmtId="0" fontId="15" fillId="0" borderId="0" xfId="0" applyFont="1"/>
    <xf numFmtId="0" fontId="16" fillId="2" borderId="0" xfId="0" applyFont="1" applyFill="1"/>
    <xf numFmtId="0" fontId="16" fillId="0" borderId="0" xfId="0" applyFont="1"/>
    <xf numFmtId="0" fontId="21" fillId="0" borderId="4" xfId="2" applyFont="1" applyBorder="1" applyAlignment="1">
      <alignment horizontal="center" vertical="center" wrapText="1"/>
    </xf>
    <xf numFmtId="0" fontId="7" fillId="0" borderId="5" xfId="1" applyFont="1" applyBorder="1" applyAlignment="1">
      <alignment vertical="center"/>
    </xf>
    <xf numFmtId="0" fontId="9" fillId="0" borderId="4" xfId="5" applyFont="1" applyFill="1" applyBorder="1" applyAlignment="1">
      <alignment horizontal="center" vertical="center" wrapText="1"/>
    </xf>
    <xf numFmtId="0" fontId="9" fillId="0" borderId="4" xfId="5" applyFont="1" applyFill="1" applyBorder="1" applyAlignment="1">
      <alignment horizontal="left" vertical="center" wrapText="1"/>
    </xf>
    <xf numFmtId="165" fontId="10" fillId="0" borderId="4" xfId="3" applyNumberFormat="1" applyFont="1" applyBorder="1" applyAlignment="1">
      <alignment horizontal="right" vertical="center" wrapText="1"/>
    </xf>
    <xf numFmtId="0" fontId="16" fillId="0" borderId="4" xfId="0" applyFont="1" applyBorder="1"/>
    <xf numFmtId="0" fontId="5" fillId="0" borderId="4" xfId="5" applyFont="1" applyFill="1" applyBorder="1"/>
    <xf numFmtId="165" fontId="6" fillId="0" borderId="4" xfId="3" applyNumberFormat="1" applyFont="1" applyBorder="1" applyAlignment="1">
      <alignment horizontal="right" vertical="center" wrapText="1"/>
    </xf>
    <xf numFmtId="0" fontId="15" fillId="0" borderId="4" xfId="0" applyFont="1" applyBorder="1"/>
    <xf numFmtId="0" fontId="5" fillId="0" borderId="4" xfId="5" applyFont="1" applyFill="1" applyBorder="1" applyAlignment="1">
      <alignment wrapText="1"/>
    </xf>
    <xf numFmtId="0" fontId="9" fillId="0" borderId="4" xfId="5" applyFont="1" applyFill="1" applyBorder="1"/>
    <xf numFmtId="0" fontId="5" fillId="3" borderId="4" xfId="5" applyFont="1" applyFill="1" applyBorder="1"/>
    <xf numFmtId="0" fontId="5" fillId="0" borderId="4" xfId="0" applyFont="1" applyFill="1" applyBorder="1"/>
    <xf numFmtId="0" fontId="19" fillId="0" borderId="4" xfId="0" applyFont="1" applyFill="1" applyBorder="1" applyAlignment="1">
      <alignment wrapText="1"/>
    </xf>
    <xf numFmtId="9" fontId="17" fillId="3" borderId="4" xfId="6" applyFont="1" applyFill="1" applyBorder="1"/>
    <xf numFmtId="9" fontId="18" fillId="3" borderId="4" xfId="6" applyFont="1" applyFill="1" applyBorder="1"/>
    <xf numFmtId="0" fontId="0" fillId="0" borderId="4" xfId="0" applyFont="1" applyBorder="1"/>
    <xf numFmtId="0" fontId="0" fillId="0" borderId="4" xfId="0" applyBorder="1"/>
    <xf numFmtId="3" fontId="10" fillId="0" borderId="4" xfId="3" applyNumberFormat="1" applyFont="1" applyBorder="1" applyAlignment="1">
      <alignment horizontal="right" vertical="center" wrapText="1"/>
    </xf>
    <xf numFmtId="3" fontId="6" fillId="0" borderId="4" xfId="3" applyNumberFormat="1" applyFont="1" applyBorder="1" applyAlignment="1">
      <alignment horizontal="right" vertical="center" wrapText="1"/>
    </xf>
    <xf numFmtId="3" fontId="0" fillId="0" borderId="4" xfId="0" applyNumberFormat="1" applyFont="1" applyBorder="1"/>
    <xf numFmtId="3" fontId="0" fillId="0" borderId="4" xfId="0" applyNumberFormat="1" applyFont="1" applyFill="1" applyBorder="1"/>
    <xf numFmtId="3" fontId="20" fillId="0" borderId="4" xfId="3" applyNumberFormat="1" applyFont="1" applyBorder="1" applyAlignment="1">
      <alignment horizontal="right" vertical="center" wrapText="1"/>
    </xf>
    <xf numFmtId="0" fontId="10" fillId="0" borderId="0" xfId="1" applyFont="1"/>
    <xf numFmtId="3" fontId="10" fillId="3" borderId="4" xfId="3" applyNumberFormat="1" applyFont="1" applyFill="1" applyBorder="1" applyAlignment="1">
      <alignment horizontal="right" vertical="center" wrapText="1"/>
    </xf>
    <xf numFmtId="165" fontId="10" fillId="3" borderId="4" xfId="3" applyNumberFormat="1" applyFont="1" applyFill="1" applyBorder="1" applyAlignment="1">
      <alignment horizontal="right" vertical="center" wrapText="1"/>
    </xf>
    <xf numFmtId="0" fontId="16" fillId="3" borderId="4" xfId="0" applyFont="1" applyFill="1" applyBorder="1"/>
    <xf numFmtId="0" fontId="5" fillId="0" borderId="4" xfId="5" applyFont="1" applyFill="1" applyBorder="1" applyAlignment="1">
      <alignment horizontal="center"/>
    </xf>
    <xf numFmtId="0" fontId="9" fillId="0" borderId="4" xfId="5" applyFont="1" applyFill="1" applyBorder="1" applyAlignment="1">
      <alignment horizontal="center"/>
    </xf>
    <xf numFmtId="3" fontId="0" fillId="0" borderId="0" xfId="0" applyNumberFormat="1"/>
    <xf numFmtId="0" fontId="9" fillId="0" borderId="4" xfId="2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21" fillId="0" borderId="1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0" fontId="21" fillId="0" borderId="3" xfId="2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7" fillId="0" borderId="4" xfId="0" applyFont="1" applyBorder="1" applyAlignment="1">
      <alignment horizontal="center"/>
    </xf>
    <xf numFmtId="0" fontId="2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24" fillId="0" borderId="5" xfId="0" applyFont="1" applyBorder="1" applyAlignment="1">
      <alignment horizontal="right"/>
    </xf>
    <xf numFmtId="0" fontId="25" fillId="0" borderId="0" xfId="0" applyFont="1" applyAlignment="1">
      <alignment horizontal="center"/>
    </xf>
    <xf numFmtId="0" fontId="11" fillId="0" borderId="0" xfId="0" applyFont="1" applyAlignment="1">
      <alignment horizontal="left"/>
    </xf>
  </cellXfs>
  <cellStyles count="7">
    <cellStyle name="Comma 2 61" xfId="4"/>
    <cellStyle name="Normal" xfId="0" builtinId="0"/>
    <cellStyle name="Normal 2 2" xfId="5"/>
    <cellStyle name="Normal 2 78" xfId="3"/>
    <cellStyle name="Normal_Sheet1 3" xfId="2"/>
    <cellStyle name="Percent" xfId="6" builtinId="5"/>
    <cellStyle name="Style 1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workbookViewId="0">
      <pane ySplit="11" topLeftCell="A105" activePane="bottomLeft" state="frozen"/>
      <selection pane="bottomLeft" activeCell="A4" sqref="A4:Z4"/>
    </sheetView>
  </sheetViews>
  <sheetFormatPr defaultRowHeight="15" x14ac:dyDescent="0.25"/>
  <cols>
    <col min="1" max="1" width="4.5703125" customWidth="1"/>
    <col min="2" max="2" width="26.7109375" customWidth="1"/>
    <col min="3" max="3" width="9.5703125" style="6" customWidth="1"/>
    <col min="4" max="4" width="9.7109375" style="1" customWidth="1"/>
    <col min="5" max="5" width="9" style="1" customWidth="1"/>
    <col min="6" max="6" width="8.42578125" style="1" customWidth="1"/>
    <col min="7" max="7" width="6.7109375" style="1" customWidth="1"/>
    <col min="8" max="8" width="7.28515625" style="1" customWidth="1"/>
    <col min="9" max="9" width="7.5703125" style="1" customWidth="1"/>
    <col min="10" max="10" width="7.140625" style="1" customWidth="1"/>
    <col min="11" max="11" width="0.140625" style="1" hidden="1" customWidth="1"/>
    <col min="12" max="12" width="9.140625" style="6" customWidth="1"/>
    <col min="13" max="14" width="9.28515625" style="1" customWidth="1"/>
    <col min="15" max="15" width="8.140625" style="1" customWidth="1"/>
    <col min="16" max="16" width="6.5703125" style="1" customWidth="1"/>
    <col min="17" max="17" width="7.5703125" style="1" customWidth="1"/>
    <col min="18" max="18" width="7.28515625" style="1" customWidth="1"/>
    <col min="19" max="19" width="7.140625" style="1" customWidth="1"/>
    <col min="20" max="20" width="0.140625" style="1" hidden="1" customWidth="1"/>
    <col min="21" max="21" width="6.85546875" customWidth="1"/>
    <col min="22" max="22" width="7.28515625" customWidth="1"/>
    <col min="23" max="23" width="8.7109375" customWidth="1"/>
    <col min="24" max="24" width="7.85546875" customWidth="1"/>
    <col min="25" max="25" width="6.28515625" customWidth="1"/>
    <col min="26" max="26" width="5.85546875" customWidth="1"/>
  </cols>
  <sheetData>
    <row r="1" spans="1:27" ht="18.75" x14ac:dyDescent="0.3">
      <c r="A1" s="55"/>
      <c r="B1" s="55"/>
      <c r="C1" s="55"/>
      <c r="I1" s="47"/>
      <c r="J1" s="47"/>
      <c r="K1" s="47"/>
      <c r="Q1" s="49"/>
      <c r="R1" s="49"/>
      <c r="S1" s="49"/>
      <c r="T1" s="49"/>
      <c r="U1" s="39"/>
      <c r="V1" s="39"/>
      <c r="X1" s="49" t="s">
        <v>43</v>
      </c>
      <c r="Y1" s="49"/>
      <c r="Z1" s="49"/>
    </row>
    <row r="2" spans="1:27" ht="18.75" customHeight="1" x14ac:dyDescent="0.3">
      <c r="A2" s="54" t="s">
        <v>151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 ht="25.5" customHeight="1" x14ac:dyDescent="0.25">
      <c r="A3" s="52" t="s">
        <v>105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39"/>
    </row>
    <row r="4" spans="1:27" ht="16.5" x14ac:dyDescent="0.25">
      <c r="A4" s="51" t="s">
        <v>153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7" ht="15.75" x14ac:dyDescent="0.25">
      <c r="A5" s="2"/>
      <c r="B5" s="3"/>
      <c r="C5" s="33"/>
      <c r="D5" s="4"/>
      <c r="E5" s="4"/>
      <c r="F5" s="5"/>
      <c r="G5" s="4"/>
      <c r="H5" s="48"/>
      <c r="I5" s="48"/>
      <c r="J5" s="48"/>
      <c r="K5" s="4"/>
      <c r="L5" s="33"/>
      <c r="M5" s="4"/>
      <c r="N5" s="4"/>
      <c r="O5" s="5"/>
      <c r="P5" s="4"/>
      <c r="Q5" s="11"/>
      <c r="R5" s="11"/>
      <c r="S5" s="11"/>
      <c r="T5" s="4"/>
      <c r="W5" s="53" t="s">
        <v>104</v>
      </c>
      <c r="X5" s="53"/>
      <c r="Y5" s="53"/>
      <c r="Z5" s="53"/>
    </row>
    <row r="6" spans="1:27" s="6" customFormat="1" ht="15.75" customHeight="1" x14ac:dyDescent="0.25">
      <c r="A6" s="40" t="s">
        <v>0</v>
      </c>
      <c r="B6" s="40" t="s">
        <v>44</v>
      </c>
      <c r="C6" s="41" t="s">
        <v>45</v>
      </c>
      <c r="D6" s="42"/>
      <c r="E6" s="42"/>
      <c r="F6" s="42"/>
      <c r="G6" s="42"/>
      <c r="H6" s="42"/>
      <c r="I6" s="42"/>
      <c r="J6" s="42"/>
      <c r="K6" s="43"/>
      <c r="L6" s="41" t="s">
        <v>46</v>
      </c>
      <c r="M6" s="42"/>
      <c r="N6" s="42"/>
      <c r="O6" s="42"/>
      <c r="P6" s="42"/>
      <c r="Q6" s="42"/>
      <c r="R6" s="42"/>
      <c r="S6" s="42"/>
      <c r="T6" s="43"/>
      <c r="U6" s="50" t="s">
        <v>106</v>
      </c>
      <c r="V6" s="50"/>
      <c r="W6" s="50"/>
      <c r="X6" s="50"/>
      <c r="Y6" s="50"/>
      <c r="Z6" s="50"/>
    </row>
    <row r="7" spans="1:27" ht="15" customHeight="1" x14ac:dyDescent="0.25">
      <c r="A7" s="40"/>
      <c r="B7" s="40" t="s">
        <v>1</v>
      </c>
      <c r="C7" s="44" t="s">
        <v>2</v>
      </c>
      <c r="D7" s="44" t="s">
        <v>34</v>
      </c>
      <c r="E7" s="44" t="s">
        <v>35</v>
      </c>
      <c r="F7" s="44" t="s">
        <v>36</v>
      </c>
      <c r="G7" s="44" t="s">
        <v>37</v>
      </c>
      <c r="H7" s="44" t="s">
        <v>38</v>
      </c>
      <c r="I7" s="44"/>
      <c r="J7" s="44"/>
      <c r="K7" s="44" t="s">
        <v>41</v>
      </c>
      <c r="L7" s="44" t="s">
        <v>2</v>
      </c>
      <c r="M7" s="44" t="s">
        <v>34</v>
      </c>
      <c r="N7" s="44" t="s">
        <v>35</v>
      </c>
      <c r="O7" s="44" t="s">
        <v>36</v>
      </c>
      <c r="P7" s="44" t="s">
        <v>37</v>
      </c>
      <c r="Q7" s="44" t="s">
        <v>38</v>
      </c>
      <c r="R7" s="44"/>
      <c r="S7" s="44"/>
      <c r="T7" s="44" t="s">
        <v>41</v>
      </c>
      <c r="U7" s="45" t="s">
        <v>2</v>
      </c>
      <c r="V7" s="45" t="s">
        <v>34</v>
      </c>
      <c r="W7" s="45" t="s">
        <v>35</v>
      </c>
      <c r="X7" s="45" t="s">
        <v>36</v>
      </c>
      <c r="Y7" s="44" t="s">
        <v>37</v>
      </c>
      <c r="Z7" s="45" t="s">
        <v>38</v>
      </c>
    </row>
    <row r="8" spans="1:27" ht="15" customHeight="1" x14ac:dyDescent="0.25">
      <c r="A8" s="40"/>
      <c r="B8" s="40"/>
      <c r="C8" s="45"/>
      <c r="D8" s="45"/>
      <c r="E8" s="45"/>
      <c r="F8" s="45"/>
      <c r="G8" s="45" t="s">
        <v>3</v>
      </c>
      <c r="H8" s="45"/>
      <c r="I8" s="45"/>
      <c r="J8" s="45"/>
      <c r="K8" s="45"/>
      <c r="L8" s="45"/>
      <c r="M8" s="45"/>
      <c r="N8" s="45"/>
      <c r="O8" s="45"/>
      <c r="P8" s="45" t="s">
        <v>3</v>
      </c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7" ht="15" customHeight="1" x14ac:dyDescent="0.25">
      <c r="A9" s="40"/>
      <c r="B9" s="40"/>
      <c r="C9" s="45"/>
      <c r="D9" s="45"/>
      <c r="E9" s="45"/>
      <c r="F9" s="45"/>
      <c r="G9" s="45" t="s">
        <v>2</v>
      </c>
      <c r="H9" s="46"/>
      <c r="I9" s="46"/>
      <c r="J9" s="46"/>
      <c r="K9" s="45" t="s">
        <v>4</v>
      </c>
      <c r="L9" s="45"/>
      <c r="M9" s="45"/>
      <c r="N9" s="45"/>
      <c r="O9" s="45"/>
      <c r="P9" s="45" t="s">
        <v>2</v>
      </c>
      <c r="Q9" s="46"/>
      <c r="R9" s="46"/>
      <c r="S9" s="46"/>
      <c r="T9" s="45" t="s">
        <v>4</v>
      </c>
      <c r="U9" s="45"/>
      <c r="V9" s="45"/>
      <c r="W9" s="45"/>
      <c r="X9" s="45"/>
      <c r="Y9" s="45"/>
      <c r="Z9" s="45"/>
    </row>
    <row r="10" spans="1:27" ht="63.75" customHeight="1" x14ac:dyDescent="0.25">
      <c r="A10" s="40"/>
      <c r="B10" s="40" t="s">
        <v>5</v>
      </c>
      <c r="C10" s="46" t="s">
        <v>6</v>
      </c>
      <c r="D10" s="46">
        <v>2</v>
      </c>
      <c r="E10" s="46">
        <v>3</v>
      </c>
      <c r="F10" s="46" t="s">
        <v>7</v>
      </c>
      <c r="G10" s="46" t="s">
        <v>8</v>
      </c>
      <c r="H10" s="10" t="s">
        <v>2</v>
      </c>
      <c r="I10" s="10" t="s">
        <v>39</v>
      </c>
      <c r="J10" s="10" t="s">
        <v>40</v>
      </c>
      <c r="K10" s="46">
        <v>7</v>
      </c>
      <c r="L10" s="46" t="s">
        <v>6</v>
      </c>
      <c r="M10" s="46">
        <v>2</v>
      </c>
      <c r="N10" s="46">
        <v>3</v>
      </c>
      <c r="O10" s="46" t="s">
        <v>7</v>
      </c>
      <c r="P10" s="46" t="s">
        <v>8</v>
      </c>
      <c r="Q10" s="10" t="s">
        <v>2</v>
      </c>
      <c r="R10" s="10" t="s">
        <v>39</v>
      </c>
      <c r="S10" s="10" t="s">
        <v>40</v>
      </c>
      <c r="T10" s="46">
        <v>7</v>
      </c>
      <c r="U10" s="46" t="s">
        <v>6</v>
      </c>
      <c r="V10" s="46">
        <v>2</v>
      </c>
      <c r="W10" s="46">
        <v>3</v>
      </c>
      <c r="X10" s="46" t="s">
        <v>7</v>
      </c>
      <c r="Y10" s="46"/>
      <c r="Z10" s="46"/>
    </row>
    <row r="11" spans="1:27" s="8" customFormat="1" ht="15.75" x14ac:dyDescent="0.25">
      <c r="A11" s="12"/>
      <c r="B11" s="12" t="s">
        <v>42</v>
      </c>
      <c r="C11" s="34">
        <f t="shared" ref="C11:T11" si="0">C12+C39+C67+C70</f>
        <v>3300058.6</v>
      </c>
      <c r="D11" s="34">
        <f>D12+D39+D67+D70</f>
        <v>938287</v>
      </c>
      <c r="E11" s="34">
        <f t="shared" si="0"/>
        <v>2324420</v>
      </c>
      <c r="F11" s="34">
        <f t="shared" si="0"/>
        <v>0</v>
      </c>
      <c r="G11" s="34">
        <f t="shared" si="0"/>
        <v>0</v>
      </c>
      <c r="H11" s="34">
        <f t="shared" si="0"/>
        <v>37351.600000000006</v>
      </c>
      <c r="I11" s="34">
        <f>I12+I39+I67+I70</f>
        <v>15670</v>
      </c>
      <c r="J11" s="34">
        <f t="shared" si="0"/>
        <v>21681.600000000002</v>
      </c>
      <c r="K11" s="34">
        <f t="shared" si="0"/>
        <v>0</v>
      </c>
      <c r="L11" s="34">
        <f t="shared" si="0"/>
        <v>3472660.9</v>
      </c>
      <c r="M11" s="34">
        <f>M12+M39+M67+M70</f>
        <v>750090</v>
      </c>
      <c r="N11" s="34">
        <f>N12+N39+N67+N70</f>
        <v>2680366.4000000004</v>
      </c>
      <c r="O11" s="34">
        <f t="shared" si="0"/>
        <v>0</v>
      </c>
      <c r="P11" s="34">
        <f t="shared" si="0"/>
        <v>0</v>
      </c>
      <c r="Q11" s="34">
        <f t="shared" si="0"/>
        <v>42204.5</v>
      </c>
      <c r="R11" s="34">
        <f t="shared" si="0"/>
        <v>20999</v>
      </c>
      <c r="S11" s="34">
        <f t="shared" si="0"/>
        <v>21205.5</v>
      </c>
      <c r="T11" s="35">
        <f t="shared" si="0"/>
        <v>0</v>
      </c>
      <c r="U11" s="24">
        <f t="shared" ref="U11:W13" si="1">L11/C11</f>
        <v>1.0523027985018205</v>
      </c>
      <c r="V11" s="24">
        <f t="shared" si="1"/>
        <v>0.7994249094360254</v>
      </c>
      <c r="W11" s="24">
        <f t="shared" si="1"/>
        <v>1.1531334268333608</v>
      </c>
      <c r="X11" s="36"/>
      <c r="Y11" s="36"/>
      <c r="Z11" s="24">
        <f>Q11/H11</f>
        <v>1.1299248224975635</v>
      </c>
    </row>
    <row r="12" spans="1:27" s="9" customFormat="1" ht="15.75" x14ac:dyDescent="0.25">
      <c r="A12" s="12" t="s">
        <v>19</v>
      </c>
      <c r="B12" s="13" t="s">
        <v>47</v>
      </c>
      <c r="C12" s="28">
        <f>SUM(C13:C38)</f>
        <v>2389640.2000000002</v>
      </c>
      <c r="D12" s="28">
        <f>SUM(D13:D38)</f>
        <v>601671</v>
      </c>
      <c r="E12" s="28">
        <f t="shared" ref="E12:J12" si="2">SUM(E13:E38)</f>
        <v>1769891</v>
      </c>
      <c r="F12" s="28">
        <f t="shared" si="2"/>
        <v>0</v>
      </c>
      <c r="G12" s="28">
        <f t="shared" si="2"/>
        <v>0</v>
      </c>
      <c r="H12" s="28">
        <f t="shared" si="2"/>
        <v>18078.2</v>
      </c>
      <c r="I12" s="28">
        <f t="shared" si="2"/>
        <v>400</v>
      </c>
      <c r="J12" s="28">
        <f t="shared" si="2"/>
        <v>17678.2</v>
      </c>
      <c r="K12" s="28">
        <f>SUM(K13:K38)</f>
        <v>0</v>
      </c>
      <c r="L12" s="28">
        <f>SUM(L13:L38)</f>
        <v>2472524</v>
      </c>
      <c r="M12" s="28">
        <f>SUM(M13:M38)</f>
        <v>404639</v>
      </c>
      <c r="N12" s="28">
        <f>SUM(N13:N38)</f>
        <v>2050285.4000000001</v>
      </c>
      <c r="O12" s="28">
        <f t="shared" ref="O12:T12" si="3">SUM(O13:O38)</f>
        <v>0</v>
      </c>
      <c r="P12" s="28">
        <f t="shared" si="3"/>
        <v>0</v>
      </c>
      <c r="Q12" s="28">
        <f t="shared" si="3"/>
        <v>17599.599999999999</v>
      </c>
      <c r="R12" s="28">
        <f t="shared" si="3"/>
        <v>383</v>
      </c>
      <c r="S12" s="28">
        <f>SUM(S13:S38)</f>
        <v>17216.599999999999</v>
      </c>
      <c r="T12" s="14">
        <f t="shared" si="3"/>
        <v>0</v>
      </c>
      <c r="U12" s="24">
        <f t="shared" si="1"/>
        <v>1.0346846357874293</v>
      </c>
      <c r="V12" s="24">
        <f t="shared" si="1"/>
        <v>0.67252535023293458</v>
      </c>
      <c r="W12" s="24">
        <f t="shared" si="1"/>
        <v>1.1584246713498176</v>
      </c>
      <c r="X12" s="15"/>
      <c r="Y12" s="15"/>
      <c r="Z12" s="24">
        <f>Q12/H12</f>
        <v>0.9735261253885894</v>
      </c>
    </row>
    <row r="13" spans="1:27" s="7" customFormat="1" ht="15.75" x14ac:dyDescent="0.25">
      <c r="A13" s="37">
        <v>1</v>
      </c>
      <c r="B13" s="16" t="s">
        <v>9</v>
      </c>
      <c r="C13" s="28">
        <f t="shared" ref="C13:C38" si="4">SUM(D13:H13)+K13</f>
        <v>73469</v>
      </c>
      <c r="D13" s="29">
        <v>21000</v>
      </c>
      <c r="E13" s="29">
        <f>45365+1503+5601</f>
        <v>52469</v>
      </c>
      <c r="F13" s="29"/>
      <c r="G13" s="29"/>
      <c r="H13" s="29">
        <f>SUM(I13:J13)</f>
        <v>0</v>
      </c>
      <c r="I13" s="29"/>
      <c r="J13" s="29"/>
      <c r="K13" s="29"/>
      <c r="L13" s="28">
        <f>SUM(M13:Q13)+T13</f>
        <v>59112</v>
      </c>
      <c r="M13" s="29">
        <v>115</v>
      </c>
      <c r="N13" s="29">
        <f>58997</f>
        <v>58997</v>
      </c>
      <c r="O13" s="29"/>
      <c r="P13" s="29"/>
      <c r="Q13" s="29">
        <f>SUM(R13:S13)</f>
        <v>0</v>
      </c>
      <c r="R13" s="29"/>
      <c r="S13" s="29"/>
      <c r="T13" s="17"/>
      <c r="U13" s="25">
        <f t="shared" si="1"/>
        <v>0.80458424641685611</v>
      </c>
      <c r="V13" s="25">
        <f t="shared" si="1"/>
        <v>5.4761904761904765E-3</v>
      </c>
      <c r="W13" s="25">
        <f t="shared" si="1"/>
        <v>1.1244163220187158</v>
      </c>
      <c r="X13" s="18"/>
      <c r="Y13" s="18"/>
      <c r="Z13" s="24"/>
    </row>
    <row r="14" spans="1:27" s="7" customFormat="1" ht="26.25" x14ac:dyDescent="0.25">
      <c r="A14" s="37">
        <v>2</v>
      </c>
      <c r="B14" s="19" t="s">
        <v>48</v>
      </c>
      <c r="C14" s="28">
        <f t="shared" si="4"/>
        <v>26751</v>
      </c>
      <c r="D14" s="29"/>
      <c r="E14" s="29">
        <v>26751</v>
      </c>
      <c r="F14" s="29"/>
      <c r="G14" s="29"/>
      <c r="H14" s="29">
        <f t="shared" ref="H14:H79" si="5">SUM(I14:J14)</f>
        <v>0</v>
      </c>
      <c r="I14" s="29"/>
      <c r="J14" s="29"/>
      <c r="K14" s="29"/>
      <c r="L14" s="28">
        <f>SUM(M14:Q14)+T14</f>
        <v>30290</v>
      </c>
      <c r="M14" s="29"/>
      <c r="N14" s="29">
        <v>30290</v>
      </c>
      <c r="O14" s="29"/>
      <c r="P14" s="29"/>
      <c r="Q14" s="29">
        <f t="shared" ref="Q14:Q79" si="6">SUM(R14:S14)</f>
        <v>0</v>
      </c>
      <c r="R14" s="29"/>
      <c r="S14" s="29"/>
      <c r="T14" s="17"/>
      <c r="U14" s="25">
        <f t="shared" ref="U14:U56" si="7">L14/C14</f>
        <v>1.132294119845987</v>
      </c>
      <c r="V14" s="25"/>
      <c r="W14" s="25">
        <f t="shared" ref="W14:W36" si="8">N14/E14</f>
        <v>1.132294119845987</v>
      </c>
      <c r="X14" s="18"/>
      <c r="Y14" s="18"/>
      <c r="Z14" s="24"/>
    </row>
    <row r="15" spans="1:27" s="7" customFormat="1" ht="15.75" x14ac:dyDescent="0.25">
      <c r="A15" s="37">
        <v>3</v>
      </c>
      <c r="B15" s="16" t="s">
        <v>49</v>
      </c>
      <c r="C15" s="28">
        <f t="shared" si="4"/>
        <v>2000</v>
      </c>
      <c r="D15" s="29">
        <f>SUM(D16:D17)</f>
        <v>0</v>
      </c>
      <c r="E15" s="29">
        <v>2000</v>
      </c>
      <c r="F15" s="29"/>
      <c r="G15" s="29"/>
      <c r="H15" s="29">
        <f t="shared" si="5"/>
        <v>0</v>
      </c>
      <c r="I15" s="29"/>
      <c r="J15" s="29"/>
      <c r="K15" s="29"/>
      <c r="L15" s="28">
        <f t="shared" ref="L15:L38" si="9">SUM(M15:Q15)+T15</f>
        <v>2700</v>
      </c>
      <c r="M15" s="29"/>
      <c r="N15" s="29">
        <v>2700</v>
      </c>
      <c r="O15" s="29"/>
      <c r="P15" s="29"/>
      <c r="Q15" s="29">
        <f t="shared" si="6"/>
        <v>0</v>
      </c>
      <c r="R15" s="29"/>
      <c r="S15" s="29"/>
      <c r="T15" s="17"/>
      <c r="U15" s="25">
        <f t="shared" si="7"/>
        <v>1.35</v>
      </c>
      <c r="V15" s="25"/>
      <c r="W15" s="25">
        <f t="shared" si="8"/>
        <v>1.35</v>
      </c>
      <c r="X15" s="18"/>
      <c r="Y15" s="18"/>
      <c r="Z15" s="24"/>
    </row>
    <row r="16" spans="1:27" s="7" customFormat="1" ht="15.75" x14ac:dyDescent="0.25">
      <c r="A16" s="37">
        <v>4</v>
      </c>
      <c r="B16" s="16" t="s">
        <v>50</v>
      </c>
      <c r="C16" s="28">
        <f t="shared" si="4"/>
        <v>33155</v>
      </c>
      <c r="D16" s="29"/>
      <c r="E16" s="29">
        <v>33155</v>
      </c>
      <c r="F16" s="29"/>
      <c r="G16" s="29"/>
      <c r="H16" s="29">
        <f t="shared" si="5"/>
        <v>0</v>
      </c>
      <c r="I16" s="29"/>
      <c r="J16" s="29"/>
      <c r="K16" s="29"/>
      <c r="L16" s="28">
        <f>SUM(M16:Q16)+T16</f>
        <v>36563</v>
      </c>
      <c r="M16" s="29"/>
      <c r="N16" s="29">
        <v>36563</v>
      </c>
      <c r="O16" s="29"/>
      <c r="P16" s="29"/>
      <c r="Q16" s="29">
        <f t="shared" si="6"/>
        <v>0</v>
      </c>
      <c r="R16" s="29"/>
      <c r="S16" s="29"/>
      <c r="T16" s="17"/>
      <c r="U16" s="25">
        <f t="shared" si="7"/>
        <v>1.1027899261046599</v>
      </c>
      <c r="V16" s="25"/>
      <c r="W16" s="25">
        <f t="shared" si="8"/>
        <v>1.1027899261046599</v>
      </c>
      <c r="X16" s="18"/>
      <c r="Y16" s="18"/>
      <c r="Z16" s="24"/>
    </row>
    <row r="17" spans="1:26" s="7" customFormat="1" ht="15.75" x14ac:dyDescent="0.25">
      <c r="A17" s="37">
        <v>5</v>
      </c>
      <c r="B17" s="16" t="s">
        <v>22</v>
      </c>
      <c r="C17" s="28">
        <f t="shared" si="4"/>
        <v>8862</v>
      </c>
      <c r="D17" s="29"/>
      <c r="E17" s="29">
        <v>8862</v>
      </c>
      <c r="F17" s="29"/>
      <c r="G17" s="29"/>
      <c r="H17" s="29">
        <f t="shared" si="5"/>
        <v>0</v>
      </c>
      <c r="I17" s="29"/>
      <c r="J17" s="29"/>
      <c r="K17" s="29"/>
      <c r="L17" s="28">
        <f t="shared" si="9"/>
        <v>9649</v>
      </c>
      <c r="M17" s="29"/>
      <c r="N17" s="29">
        <v>9649</v>
      </c>
      <c r="O17" s="29"/>
      <c r="P17" s="29"/>
      <c r="Q17" s="29">
        <f t="shared" si="6"/>
        <v>0</v>
      </c>
      <c r="R17" s="29"/>
      <c r="S17" s="29"/>
      <c r="T17" s="17"/>
      <c r="U17" s="25">
        <f t="shared" si="7"/>
        <v>1.0888061385691719</v>
      </c>
      <c r="V17" s="25"/>
      <c r="W17" s="25">
        <f t="shared" si="8"/>
        <v>1.0888061385691719</v>
      </c>
      <c r="X17" s="18"/>
      <c r="Y17" s="18"/>
      <c r="Z17" s="24"/>
    </row>
    <row r="18" spans="1:26" s="7" customFormat="1" ht="15.75" x14ac:dyDescent="0.25">
      <c r="A18" s="37">
        <v>6</v>
      </c>
      <c r="B18" s="16" t="s">
        <v>14</v>
      </c>
      <c r="C18" s="28">
        <f t="shared" si="4"/>
        <v>14683</v>
      </c>
      <c r="D18" s="29"/>
      <c r="E18" s="29">
        <v>14683</v>
      </c>
      <c r="F18" s="29">
        <f>SUM(F19:F35)</f>
        <v>0</v>
      </c>
      <c r="G18" s="29">
        <f>SUM(G19:G35)</f>
        <v>0</v>
      </c>
      <c r="H18" s="29">
        <f t="shared" si="5"/>
        <v>0</v>
      </c>
      <c r="I18" s="29"/>
      <c r="J18" s="29"/>
      <c r="K18" s="29">
        <f>SUM(K19:K35)</f>
        <v>0</v>
      </c>
      <c r="L18" s="28">
        <f t="shared" si="9"/>
        <v>14516</v>
      </c>
      <c r="M18" s="29"/>
      <c r="N18" s="29">
        <v>14516</v>
      </c>
      <c r="O18" s="29">
        <f t="shared" ref="O18:T18" si="10">SUM(O19:O35)</f>
        <v>0</v>
      </c>
      <c r="P18" s="29">
        <f t="shared" si="10"/>
        <v>0</v>
      </c>
      <c r="Q18" s="29">
        <f t="shared" si="6"/>
        <v>0</v>
      </c>
      <c r="R18" s="29"/>
      <c r="S18" s="29"/>
      <c r="T18" s="17">
        <f t="shared" si="10"/>
        <v>0</v>
      </c>
      <c r="U18" s="25">
        <f t="shared" si="7"/>
        <v>0.98862630252673156</v>
      </c>
      <c r="V18" s="25"/>
      <c r="W18" s="25">
        <f t="shared" si="8"/>
        <v>0.98862630252673156</v>
      </c>
      <c r="X18" s="18"/>
      <c r="Y18" s="18"/>
      <c r="Z18" s="24"/>
    </row>
    <row r="19" spans="1:26" s="7" customFormat="1" ht="15.75" x14ac:dyDescent="0.25">
      <c r="A19" s="37">
        <v>7</v>
      </c>
      <c r="B19" s="16" t="s">
        <v>11</v>
      </c>
      <c r="C19" s="28">
        <f t="shared" si="4"/>
        <v>10600</v>
      </c>
      <c r="D19" s="29"/>
      <c r="E19" s="29">
        <v>10600</v>
      </c>
      <c r="F19" s="29"/>
      <c r="G19" s="29"/>
      <c r="H19" s="29">
        <f t="shared" si="5"/>
        <v>0</v>
      </c>
      <c r="I19" s="29"/>
      <c r="J19" s="29"/>
      <c r="K19" s="29"/>
      <c r="L19" s="28">
        <f t="shared" si="9"/>
        <v>11979</v>
      </c>
      <c r="M19" s="29"/>
      <c r="N19" s="29">
        <v>11979</v>
      </c>
      <c r="O19" s="29"/>
      <c r="P19" s="29"/>
      <c r="Q19" s="29">
        <f t="shared" si="6"/>
        <v>0</v>
      </c>
      <c r="R19" s="29"/>
      <c r="S19" s="29"/>
      <c r="T19" s="17"/>
      <c r="U19" s="25">
        <f t="shared" si="7"/>
        <v>1.1300943396226415</v>
      </c>
      <c r="V19" s="25"/>
      <c r="W19" s="25">
        <f t="shared" si="8"/>
        <v>1.1300943396226415</v>
      </c>
      <c r="X19" s="18"/>
      <c r="Y19" s="18"/>
      <c r="Z19" s="24"/>
    </row>
    <row r="20" spans="1:26" s="7" customFormat="1" ht="15.75" x14ac:dyDescent="0.25">
      <c r="A20" s="37">
        <v>8</v>
      </c>
      <c r="B20" s="16" t="s">
        <v>51</v>
      </c>
      <c r="C20" s="28">
        <f t="shared" si="4"/>
        <v>9826</v>
      </c>
      <c r="D20" s="29"/>
      <c r="E20" s="29">
        <v>9826</v>
      </c>
      <c r="F20" s="29"/>
      <c r="G20" s="29"/>
      <c r="H20" s="29">
        <f t="shared" si="5"/>
        <v>0</v>
      </c>
      <c r="I20" s="29"/>
      <c r="J20" s="29"/>
      <c r="K20" s="29"/>
      <c r="L20" s="28">
        <f t="shared" si="9"/>
        <v>10602</v>
      </c>
      <c r="M20" s="29"/>
      <c r="N20" s="29">
        <v>10602</v>
      </c>
      <c r="O20" s="29"/>
      <c r="P20" s="29"/>
      <c r="Q20" s="29">
        <f t="shared" si="6"/>
        <v>0</v>
      </c>
      <c r="R20" s="29"/>
      <c r="S20" s="29"/>
      <c r="T20" s="17"/>
      <c r="U20" s="25">
        <f t="shared" si="7"/>
        <v>1.0789741502137187</v>
      </c>
      <c r="V20" s="25"/>
      <c r="W20" s="25">
        <f t="shared" si="8"/>
        <v>1.0789741502137187</v>
      </c>
      <c r="X20" s="18"/>
      <c r="Y20" s="18"/>
      <c r="Z20" s="24"/>
    </row>
    <row r="21" spans="1:26" s="7" customFormat="1" ht="15.75" x14ac:dyDescent="0.25">
      <c r="A21" s="37">
        <v>9</v>
      </c>
      <c r="B21" s="16" t="s">
        <v>52</v>
      </c>
      <c r="C21" s="28">
        <f t="shared" si="4"/>
        <v>39742</v>
      </c>
      <c r="D21" s="29">
        <f>10000</f>
        <v>10000</v>
      </c>
      <c r="E21" s="29">
        <v>29742</v>
      </c>
      <c r="F21" s="29"/>
      <c r="G21" s="29"/>
      <c r="H21" s="29">
        <f t="shared" si="5"/>
        <v>0</v>
      </c>
      <c r="I21" s="29"/>
      <c r="J21" s="29"/>
      <c r="K21" s="29"/>
      <c r="L21" s="28">
        <f t="shared" si="9"/>
        <v>254474</v>
      </c>
      <c r="M21" s="29"/>
      <c r="N21" s="29">
        <v>254474</v>
      </c>
      <c r="O21" s="29"/>
      <c r="P21" s="29"/>
      <c r="Q21" s="29">
        <f t="shared" si="6"/>
        <v>0</v>
      </c>
      <c r="R21" s="29"/>
      <c r="S21" s="29"/>
      <c r="T21" s="17"/>
      <c r="U21" s="25">
        <f t="shared" si="7"/>
        <v>6.4031503195611696</v>
      </c>
      <c r="V21" s="25"/>
      <c r="W21" s="25">
        <f t="shared" si="8"/>
        <v>8.5560486853607696</v>
      </c>
      <c r="X21" s="18"/>
      <c r="Y21" s="18"/>
      <c r="Z21" s="24"/>
    </row>
    <row r="22" spans="1:26" s="7" customFormat="1" ht="15.75" x14ac:dyDescent="0.25">
      <c r="A22" s="37">
        <v>10</v>
      </c>
      <c r="B22" s="16" t="s">
        <v>53</v>
      </c>
      <c r="C22" s="28">
        <f t="shared" si="4"/>
        <v>36466</v>
      </c>
      <c r="D22" s="29">
        <v>4427</v>
      </c>
      <c r="E22" s="29">
        <v>32039</v>
      </c>
      <c r="F22" s="29"/>
      <c r="G22" s="29"/>
      <c r="H22" s="29">
        <f t="shared" si="5"/>
        <v>0</v>
      </c>
      <c r="I22" s="29"/>
      <c r="J22" s="29"/>
      <c r="K22" s="29"/>
      <c r="L22" s="28">
        <f t="shared" si="9"/>
        <v>35874</v>
      </c>
      <c r="M22" s="29">
        <v>4427</v>
      </c>
      <c r="N22" s="29">
        <v>31447</v>
      </c>
      <c r="O22" s="29"/>
      <c r="P22" s="29"/>
      <c r="Q22" s="29">
        <f t="shared" si="6"/>
        <v>0</v>
      </c>
      <c r="R22" s="29"/>
      <c r="S22" s="29"/>
      <c r="T22" s="17"/>
      <c r="U22" s="25">
        <f t="shared" si="7"/>
        <v>0.98376569955575055</v>
      </c>
      <c r="V22" s="25">
        <f>M22/D22</f>
        <v>1</v>
      </c>
      <c r="W22" s="25">
        <f t="shared" si="8"/>
        <v>0.98152251942944535</v>
      </c>
      <c r="X22" s="18"/>
      <c r="Y22" s="18"/>
      <c r="Z22" s="24"/>
    </row>
    <row r="23" spans="1:26" s="7" customFormat="1" ht="15.75" x14ac:dyDescent="0.25">
      <c r="A23" s="37">
        <v>11</v>
      </c>
      <c r="B23" s="16" t="s">
        <v>16</v>
      </c>
      <c r="C23" s="28">
        <f t="shared" si="4"/>
        <v>479199</v>
      </c>
      <c r="D23" s="29">
        <f>120972+244154</f>
        <v>365126</v>
      </c>
      <c r="E23" s="29">
        <v>114073</v>
      </c>
      <c r="F23" s="29"/>
      <c r="G23" s="29"/>
      <c r="H23" s="29">
        <f t="shared" si="5"/>
        <v>0</v>
      </c>
      <c r="I23" s="29"/>
      <c r="J23" s="29"/>
      <c r="K23" s="29"/>
      <c r="L23" s="28">
        <f t="shared" si="9"/>
        <v>388072</v>
      </c>
      <c r="M23" s="29">
        <v>244979</v>
      </c>
      <c r="N23" s="29">
        <f>143093</f>
        <v>143093</v>
      </c>
      <c r="O23" s="29"/>
      <c r="P23" s="29"/>
      <c r="Q23" s="29">
        <f t="shared" si="6"/>
        <v>0</v>
      </c>
      <c r="R23" s="29"/>
      <c r="S23" s="29"/>
      <c r="T23" s="17"/>
      <c r="U23" s="25">
        <f t="shared" si="7"/>
        <v>0.8098347450641592</v>
      </c>
      <c r="V23" s="25">
        <f>M23/D23</f>
        <v>0.67094372901409371</v>
      </c>
      <c r="W23" s="25">
        <f t="shared" si="8"/>
        <v>1.2543984992066484</v>
      </c>
      <c r="X23" s="18"/>
      <c r="Y23" s="18"/>
      <c r="Z23" s="24"/>
    </row>
    <row r="24" spans="1:26" s="7" customFormat="1" ht="15.75" x14ac:dyDescent="0.25">
      <c r="A24" s="37">
        <v>12</v>
      </c>
      <c r="B24" s="16" t="s">
        <v>54</v>
      </c>
      <c r="C24" s="28">
        <f t="shared" si="4"/>
        <v>6126</v>
      </c>
      <c r="D24" s="29"/>
      <c r="E24" s="29">
        <v>6126</v>
      </c>
      <c r="F24" s="29"/>
      <c r="G24" s="29"/>
      <c r="H24" s="29">
        <f t="shared" si="5"/>
        <v>0</v>
      </c>
      <c r="I24" s="29"/>
      <c r="J24" s="29"/>
      <c r="K24" s="29"/>
      <c r="L24" s="28">
        <f t="shared" si="9"/>
        <v>6202</v>
      </c>
      <c r="M24" s="29"/>
      <c r="N24" s="29">
        <v>6202</v>
      </c>
      <c r="O24" s="29"/>
      <c r="P24" s="29"/>
      <c r="Q24" s="29">
        <f t="shared" si="6"/>
        <v>0</v>
      </c>
      <c r="R24" s="29"/>
      <c r="S24" s="29"/>
      <c r="T24" s="17"/>
      <c r="U24" s="25">
        <f t="shared" si="7"/>
        <v>1.0124061377734248</v>
      </c>
      <c r="V24" s="25"/>
      <c r="W24" s="25">
        <f t="shared" si="8"/>
        <v>1.0124061377734248</v>
      </c>
      <c r="X24" s="18"/>
      <c r="Y24" s="18"/>
      <c r="Z24" s="24"/>
    </row>
    <row r="25" spans="1:26" s="7" customFormat="1" ht="15.75" x14ac:dyDescent="0.25">
      <c r="A25" s="37">
        <v>13</v>
      </c>
      <c r="B25" s="16" t="s">
        <v>15</v>
      </c>
      <c r="C25" s="28">
        <f t="shared" si="4"/>
        <v>8322</v>
      </c>
      <c r="D25" s="29"/>
      <c r="E25" s="29">
        <v>8322</v>
      </c>
      <c r="F25" s="29"/>
      <c r="G25" s="29"/>
      <c r="H25" s="29">
        <f t="shared" si="5"/>
        <v>0</v>
      </c>
      <c r="I25" s="29"/>
      <c r="J25" s="29"/>
      <c r="K25" s="29"/>
      <c r="L25" s="28">
        <f t="shared" si="9"/>
        <v>8485</v>
      </c>
      <c r="M25" s="29"/>
      <c r="N25" s="29">
        <v>8485</v>
      </c>
      <c r="O25" s="29"/>
      <c r="P25" s="29"/>
      <c r="Q25" s="29">
        <f t="shared" si="6"/>
        <v>0</v>
      </c>
      <c r="R25" s="29"/>
      <c r="S25" s="29"/>
      <c r="T25" s="17"/>
      <c r="U25" s="25">
        <f t="shared" si="7"/>
        <v>1.0195866378274454</v>
      </c>
      <c r="V25" s="25"/>
      <c r="W25" s="25">
        <f t="shared" si="8"/>
        <v>1.0195866378274454</v>
      </c>
      <c r="X25" s="18"/>
      <c r="Y25" s="18"/>
      <c r="Z25" s="24"/>
    </row>
    <row r="26" spans="1:26" s="7" customFormat="1" ht="15.75" x14ac:dyDescent="0.25">
      <c r="A26" s="37">
        <v>14</v>
      </c>
      <c r="B26" s="16" t="s">
        <v>55</v>
      </c>
      <c r="C26" s="28">
        <f t="shared" si="4"/>
        <v>125200</v>
      </c>
      <c r="D26" s="29">
        <f>16827+13760</f>
        <v>30587</v>
      </c>
      <c r="E26" s="29">
        <v>92947</v>
      </c>
      <c r="F26" s="29"/>
      <c r="G26" s="29"/>
      <c r="H26" s="29">
        <f t="shared" si="5"/>
        <v>1666</v>
      </c>
      <c r="I26" s="29"/>
      <c r="J26" s="29">
        <v>1666</v>
      </c>
      <c r="K26" s="29"/>
      <c r="L26" s="28">
        <f t="shared" si="9"/>
        <v>114243</v>
      </c>
      <c r="M26" s="29">
        <v>17570</v>
      </c>
      <c r="N26" s="29">
        <f>96673-S26</f>
        <v>95007</v>
      </c>
      <c r="O26" s="29"/>
      <c r="P26" s="29"/>
      <c r="Q26" s="29">
        <f t="shared" si="6"/>
        <v>1666</v>
      </c>
      <c r="R26" s="29"/>
      <c r="S26" s="29">
        <v>1666</v>
      </c>
      <c r="T26" s="17"/>
      <c r="U26" s="25">
        <f t="shared" si="7"/>
        <v>0.91248402555910546</v>
      </c>
      <c r="V26" s="25">
        <f>M26/D26</f>
        <v>0.57442704416909141</v>
      </c>
      <c r="W26" s="25">
        <f t="shared" si="8"/>
        <v>1.0221631682571788</v>
      </c>
      <c r="X26" s="18"/>
      <c r="Y26" s="18"/>
      <c r="Z26" s="25">
        <f>Q26/H26</f>
        <v>1</v>
      </c>
    </row>
    <row r="27" spans="1:26" s="7" customFormat="1" ht="15.75" x14ac:dyDescent="0.25">
      <c r="A27" s="37">
        <v>15</v>
      </c>
      <c r="B27" s="16" t="s">
        <v>56</v>
      </c>
      <c r="C27" s="28">
        <f t="shared" si="4"/>
        <v>115039</v>
      </c>
      <c r="D27" s="29">
        <v>910</v>
      </c>
      <c r="E27" s="29">
        <v>112649</v>
      </c>
      <c r="F27" s="29"/>
      <c r="G27" s="29"/>
      <c r="H27" s="29">
        <f t="shared" si="5"/>
        <v>1480</v>
      </c>
      <c r="I27" s="29"/>
      <c r="J27" s="29">
        <f>650+830</f>
        <v>1480</v>
      </c>
      <c r="K27" s="29"/>
      <c r="L27" s="28">
        <f t="shared" si="9"/>
        <v>116188</v>
      </c>
      <c r="M27" s="29">
        <v>910</v>
      </c>
      <c r="N27" s="29">
        <f>115278-S27</f>
        <v>113806.5</v>
      </c>
      <c r="O27" s="29"/>
      <c r="P27" s="29"/>
      <c r="Q27" s="29">
        <f t="shared" si="6"/>
        <v>1471.5</v>
      </c>
      <c r="R27" s="29"/>
      <c r="S27" s="29">
        <f>642+829.5</f>
        <v>1471.5</v>
      </c>
      <c r="T27" s="17"/>
      <c r="U27" s="25">
        <f t="shared" si="7"/>
        <v>1.0099879171411434</v>
      </c>
      <c r="V27" s="25">
        <f>M27/D27</f>
        <v>1</v>
      </c>
      <c r="W27" s="25">
        <f t="shared" si="8"/>
        <v>1.0102752798515744</v>
      </c>
      <c r="X27" s="18"/>
      <c r="Y27" s="18"/>
      <c r="Z27" s="25">
        <f>Q27/H27</f>
        <v>0.99425675675675673</v>
      </c>
    </row>
    <row r="28" spans="1:26" s="7" customFormat="1" ht="15.75" x14ac:dyDescent="0.25">
      <c r="A28" s="37">
        <v>16</v>
      </c>
      <c r="B28" s="16" t="s">
        <v>12</v>
      </c>
      <c r="C28" s="28">
        <f t="shared" si="4"/>
        <v>20835</v>
      </c>
      <c r="D28" s="29"/>
      <c r="E28" s="29">
        <v>20835</v>
      </c>
      <c r="F28" s="29"/>
      <c r="G28" s="29"/>
      <c r="H28" s="29">
        <f t="shared" si="5"/>
        <v>0</v>
      </c>
      <c r="I28" s="29"/>
      <c r="J28" s="29"/>
      <c r="K28" s="29"/>
      <c r="L28" s="28">
        <f t="shared" si="9"/>
        <v>22408</v>
      </c>
      <c r="M28" s="29"/>
      <c r="N28" s="29">
        <v>22408</v>
      </c>
      <c r="O28" s="29"/>
      <c r="P28" s="29"/>
      <c r="Q28" s="29">
        <f t="shared" si="6"/>
        <v>0</v>
      </c>
      <c r="R28" s="29"/>
      <c r="S28" s="29"/>
      <c r="T28" s="17"/>
      <c r="U28" s="25">
        <f t="shared" si="7"/>
        <v>1.0754979601631869</v>
      </c>
      <c r="V28" s="25"/>
      <c r="W28" s="25">
        <f t="shared" si="8"/>
        <v>1.0754979601631869</v>
      </c>
      <c r="X28" s="18"/>
      <c r="Y28" s="18"/>
      <c r="Z28" s="25"/>
    </row>
    <row r="29" spans="1:26" s="7" customFormat="1" ht="15.75" x14ac:dyDescent="0.25">
      <c r="A29" s="37">
        <v>17</v>
      </c>
      <c r="B29" s="16" t="s">
        <v>13</v>
      </c>
      <c r="C29" s="28">
        <f t="shared" si="4"/>
        <v>19850</v>
      </c>
      <c r="D29" s="29"/>
      <c r="E29" s="29">
        <v>19850</v>
      </c>
      <c r="F29" s="29"/>
      <c r="G29" s="29"/>
      <c r="H29" s="29">
        <f t="shared" si="5"/>
        <v>0</v>
      </c>
      <c r="I29" s="29"/>
      <c r="J29" s="29"/>
      <c r="K29" s="29"/>
      <c r="L29" s="28">
        <f t="shared" si="9"/>
        <v>19802</v>
      </c>
      <c r="M29" s="29"/>
      <c r="N29" s="29">
        <v>19802</v>
      </c>
      <c r="O29" s="29"/>
      <c r="P29" s="29"/>
      <c r="Q29" s="29">
        <f t="shared" si="6"/>
        <v>0</v>
      </c>
      <c r="R29" s="29"/>
      <c r="S29" s="29"/>
      <c r="T29" s="17"/>
      <c r="U29" s="25">
        <f t="shared" si="7"/>
        <v>0.99758186397984883</v>
      </c>
      <c r="V29" s="25"/>
      <c r="W29" s="25">
        <f t="shared" si="8"/>
        <v>0.99758186397984883</v>
      </c>
      <c r="X29" s="18"/>
      <c r="Y29" s="18"/>
      <c r="Z29" s="25"/>
    </row>
    <row r="30" spans="1:26" s="7" customFormat="1" ht="26.25" x14ac:dyDescent="0.25">
      <c r="A30" s="37">
        <v>18</v>
      </c>
      <c r="B30" s="19" t="s">
        <v>57</v>
      </c>
      <c r="C30" s="28">
        <f t="shared" si="4"/>
        <v>216298</v>
      </c>
      <c r="D30" s="29">
        <f>25016+40800</f>
        <v>65816</v>
      </c>
      <c r="E30" s="29">
        <f>134602+3563+12317</f>
        <v>150482</v>
      </c>
      <c r="F30" s="29"/>
      <c r="G30" s="29"/>
      <c r="H30" s="29">
        <f t="shared" si="5"/>
        <v>0</v>
      </c>
      <c r="I30" s="29"/>
      <c r="J30" s="29"/>
      <c r="K30" s="29"/>
      <c r="L30" s="28">
        <f t="shared" si="9"/>
        <v>249437</v>
      </c>
      <c r="M30" s="29">
        <f>12949+34455</f>
        <v>47404</v>
      </c>
      <c r="N30" s="29">
        <v>202033</v>
      </c>
      <c r="O30" s="29"/>
      <c r="P30" s="29"/>
      <c r="Q30" s="29">
        <f t="shared" si="6"/>
        <v>0</v>
      </c>
      <c r="R30" s="29"/>
      <c r="S30" s="29"/>
      <c r="T30" s="17"/>
      <c r="U30" s="25">
        <f t="shared" si="7"/>
        <v>1.1532099233464941</v>
      </c>
      <c r="V30" s="25">
        <f>M30/D30</f>
        <v>0.72025039504071953</v>
      </c>
      <c r="W30" s="25">
        <f t="shared" si="8"/>
        <v>1.3425725335920575</v>
      </c>
      <c r="X30" s="18"/>
      <c r="Y30" s="18"/>
      <c r="Z30" s="25" t="e">
        <f t="shared" ref="Z30:Z35" si="11">Q30/H30</f>
        <v>#DIV/0!</v>
      </c>
    </row>
    <row r="31" spans="1:26" s="7" customFormat="1" ht="15.75" x14ac:dyDescent="0.25">
      <c r="A31" s="37">
        <v>19</v>
      </c>
      <c r="B31" s="16" t="s">
        <v>58</v>
      </c>
      <c r="C31" s="28">
        <f t="shared" si="4"/>
        <v>89853</v>
      </c>
      <c r="D31" s="29"/>
      <c r="E31" s="29">
        <f>66663+8339+14851</f>
        <v>89853</v>
      </c>
      <c r="F31" s="29"/>
      <c r="G31" s="29"/>
      <c r="H31" s="29">
        <f t="shared" si="5"/>
        <v>0</v>
      </c>
      <c r="I31" s="29"/>
      <c r="J31" s="29"/>
      <c r="K31" s="29"/>
      <c r="L31" s="28">
        <f t="shared" si="9"/>
        <v>77114</v>
      </c>
      <c r="M31" s="29"/>
      <c r="N31" s="29">
        <f>77114-S31</f>
        <v>77114</v>
      </c>
      <c r="O31" s="29"/>
      <c r="P31" s="29"/>
      <c r="Q31" s="29">
        <f t="shared" si="6"/>
        <v>0</v>
      </c>
      <c r="R31" s="29"/>
      <c r="S31" s="29"/>
      <c r="T31" s="17"/>
      <c r="U31" s="25">
        <f t="shared" si="7"/>
        <v>0.85822398806940225</v>
      </c>
      <c r="V31" s="25"/>
      <c r="W31" s="25">
        <f t="shared" si="8"/>
        <v>0.85822398806940225</v>
      </c>
      <c r="X31" s="18"/>
      <c r="Y31" s="18"/>
      <c r="Z31" s="25" t="e">
        <f t="shared" si="11"/>
        <v>#DIV/0!</v>
      </c>
    </row>
    <row r="32" spans="1:26" s="7" customFormat="1" ht="15.75" x14ac:dyDescent="0.25">
      <c r="A32" s="37">
        <v>20</v>
      </c>
      <c r="B32" s="16" t="s">
        <v>18</v>
      </c>
      <c r="C32" s="28">
        <f t="shared" si="4"/>
        <v>519851</v>
      </c>
      <c r="D32" s="29">
        <v>9068</v>
      </c>
      <c r="E32" s="29">
        <f>2128+187+216+508252</f>
        <v>510783</v>
      </c>
      <c r="F32" s="29"/>
      <c r="G32" s="29"/>
      <c r="H32" s="29">
        <f t="shared" si="5"/>
        <v>0</v>
      </c>
      <c r="I32" s="29"/>
      <c r="J32" s="29"/>
      <c r="K32" s="29"/>
      <c r="L32" s="28">
        <f t="shared" si="9"/>
        <v>480354</v>
      </c>
      <c r="M32" s="29">
        <f>3880+5083</f>
        <v>8963</v>
      </c>
      <c r="N32" s="29">
        <f>471391-S32</f>
        <v>471391</v>
      </c>
      <c r="O32" s="29"/>
      <c r="P32" s="29"/>
      <c r="Q32" s="29">
        <f t="shared" si="6"/>
        <v>0</v>
      </c>
      <c r="R32" s="29"/>
      <c r="S32" s="29"/>
      <c r="T32" s="17"/>
      <c r="U32" s="25">
        <f t="shared" si="7"/>
        <v>0.9240224602818885</v>
      </c>
      <c r="V32" s="25">
        <f>M32/D32</f>
        <v>0.98842082046757829</v>
      </c>
      <c r="W32" s="25">
        <f t="shared" si="8"/>
        <v>0.92287918744359154</v>
      </c>
      <c r="X32" s="18"/>
      <c r="Y32" s="18"/>
      <c r="Z32" s="25" t="e">
        <f t="shared" si="11"/>
        <v>#DIV/0!</v>
      </c>
    </row>
    <row r="33" spans="1:26" s="7" customFormat="1" ht="15.75" x14ac:dyDescent="0.25">
      <c r="A33" s="37">
        <v>21</v>
      </c>
      <c r="B33" s="16" t="s">
        <v>17</v>
      </c>
      <c r="C33" s="28">
        <f t="shared" si="4"/>
        <v>491064</v>
      </c>
      <c r="D33" s="29">
        <v>90756</v>
      </c>
      <c r="E33" s="29">
        <v>396572</v>
      </c>
      <c r="F33" s="29"/>
      <c r="G33" s="29"/>
      <c r="H33" s="29">
        <f t="shared" si="5"/>
        <v>3736</v>
      </c>
      <c r="I33" s="29"/>
      <c r="J33" s="29">
        <v>3736</v>
      </c>
      <c r="K33" s="29"/>
      <c r="L33" s="28">
        <f t="shared" si="9"/>
        <v>472901</v>
      </c>
      <c r="M33" s="29">
        <f>7702+68588</f>
        <v>76290</v>
      </c>
      <c r="N33" s="29">
        <f>396611-S33</f>
        <v>392944.3</v>
      </c>
      <c r="O33" s="29"/>
      <c r="P33" s="29"/>
      <c r="Q33" s="29">
        <f t="shared" si="6"/>
        <v>3666.7</v>
      </c>
      <c r="R33" s="29"/>
      <c r="S33" s="29">
        <v>3666.7</v>
      </c>
      <c r="T33" s="17"/>
      <c r="U33" s="25">
        <f t="shared" si="7"/>
        <v>0.96301296775980316</v>
      </c>
      <c r="V33" s="25">
        <f>M33/D33</f>
        <v>0.84060557979637707</v>
      </c>
      <c r="W33" s="25">
        <f t="shared" si="8"/>
        <v>0.9908523546796042</v>
      </c>
      <c r="X33" s="18"/>
      <c r="Y33" s="18"/>
      <c r="Z33" s="25">
        <f t="shared" si="11"/>
        <v>0.98145074946466804</v>
      </c>
    </row>
    <row r="34" spans="1:26" s="7" customFormat="1" ht="15.75" x14ac:dyDescent="0.25">
      <c r="A34" s="37">
        <v>22</v>
      </c>
      <c r="B34" s="16" t="s">
        <v>23</v>
      </c>
      <c r="C34" s="28">
        <f t="shared" si="4"/>
        <v>8666</v>
      </c>
      <c r="D34" s="29"/>
      <c r="E34" s="29">
        <v>6124</v>
      </c>
      <c r="F34" s="29"/>
      <c r="G34" s="29"/>
      <c r="H34" s="29">
        <f t="shared" si="5"/>
        <v>2542</v>
      </c>
      <c r="I34" s="29"/>
      <c r="J34" s="29">
        <v>2542</v>
      </c>
      <c r="K34" s="29"/>
      <c r="L34" s="28">
        <f t="shared" si="9"/>
        <v>8278</v>
      </c>
      <c r="M34" s="29"/>
      <c r="N34" s="29">
        <f>8278-S34</f>
        <v>6119.8</v>
      </c>
      <c r="O34" s="29"/>
      <c r="P34" s="29"/>
      <c r="Q34" s="29">
        <f>SUM(R34:S34)</f>
        <v>2158.1999999999998</v>
      </c>
      <c r="R34" s="29"/>
      <c r="S34" s="29">
        <v>2158.1999999999998</v>
      </c>
      <c r="T34" s="17"/>
      <c r="U34" s="25">
        <f t="shared" si="7"/>
        <v>0.95522732517885989</v>
      </c>
      <c r="V34" s="25"/>
      <c r="W34" s="25">
        <f t="shared" si="8"/>
        <v>0.99931417374265186</v>
      </c>
      <c r="X34" s="18"/>
      <c r="Y34" s="18"/>
      <c r="Z34" s="25">
        <f t="shared" si="11"/>
        <v>0.84901652242328862</v>
      </c>
    </row>
    <row r="35" spans="1:26" s="7" customFormat="1" ht="15.75" x14ac:dyDescent="0.25">
      <c r="A35" s="37">
        <v>23</v>
      </c>
      <c r="B35" s="16" t="s">
        <v>59</v>
      </c>
      <c r="C35" s="28">
        <f t="shared" si="4"/>
        <v>23066.2</v>
      </c>
      <c r="D35" s="29">
        <v>3981</v>
      </c>
      <c r="E35" s="29">
        <v>13425</v>
      </c>
      <c r="F35" s="29"/>
      <c r="G35" s="29"/>
      <c r="H35" s="29">
        <f t="shared" si="5"/>
        <v>5660.2</v>
      </c>
      <c r="I35" s="29">
        <v>400</v>
      </c>
      <c r="J35" s="29">
        <f>446+4814.2</f>
        <v>5260.2</v>
      </c>
      <c r="K35" s="29"/>
      <c r="L35" s="28">
        <f t="shared" si="9"/>
        <v>25639</v>
      </c>
      <c r="M35" s="29">
        <v>3981</v>
      </c>
      <c r="N35" s="29">
        <f>21275-S35</f>
        <v>16014.8</v>
      </c>
      <c r="O35" s="29"/>
      <c r="P35" s="29"/>
      <c r="Q35" s="29">
        <f t="shared" si="6"/>
        <v>5643.2</v>
      </c>
      <c r="R35" s="29">
        <v>383</v>
      </c>
      <c r="S35" s="29">
        <f>446+4814.2</f>
        <v>5260.2</v>
      </c>
      <c r="T35" s="17"/>
      <c r="U35" s="25">
        <f t="shared" si="7"/>
        <v>1.1115398288404679</v>
      </c>
      <c r="V35" s="25">
        <f>M35/D35</f>
        <v>1</v>
      </c>
      <c r="W35" s="25">
        <f t="shared" si="8"/>
        <v>1.1929087523277466</v>
      </c>
      <c r="X35" s="18"/>
      <c r="Y35" s="18"/>
      <c r="Z35" s="25">
        <f t="shared" si="11"/>
        <v>0.99699657255927354</v>
      </c>
    </row>
    <row r="36" spans="1:26" s="7" customFormat="1" ht="15.75" x14ac:dyDescent="0.25">
      <c r="A36" s="37">
        <v>24</v>
      </c>
      <c r="B36" s="16" t="s">
        <v>60</v>
      </c>
      <c r="C36" s="28">
        <f t="shared" si="4"/>
        <v>2043</v>
      </c>
      <c r="D36" s="29">
        <f>SUM(D37:D38)</f>
        <v>0</v>
      </c>
      <c r="E36" s="29">
        <v>2043</v>
      </c>
      <c r="F36" s="29">
        <f>SUM(F37:F38)</f>
        <v>0</v>
      </c>
      <c r="G36" s="29">
        <f>SUM(G37:G38)</f>
        <v>0</v>
      </c>
      <c r="H36" s="29">
        <f t="shared" si="5"/>
        <v>0</v>
      </c>
      <c r="I36" s="29">
        <f>SUM(I37:I38)</f>
        <v>0</v>
      </c>
      <c r="J36" s="29"/>
      <c r="K36" s="29">
        <f>SUM(K37:K38)</f>
        <v>0</v>
      </c>
      <c r="L36" s="28">
        <f t="shared" si="9"/>
        <v>2256</v>
      </c>
      <c r="M36" s="29">
        <f t="shared" ref="M36:T36" si="12">SUM(M37:M38)</f>
        <v>0</v>
      </c>
      <c r="N36" s="29">
        <v>2256</v>
      </c>
      <c r="O36" s="29">
        <f t="shared" si="12"/>
        <v>0</v>
      </c>
      <c r="P36" s="29">
        <f t="shared" si="12"/>
        <v>0</v>
      </c>
      <c r="Q36" s="29">
        <f t="shared" si="6"/>
        <v>0</v>
      </c>
      <c r="R36" s="29">
        <f t="shared" si="12"/>
        <v>0</v>
      </c>
      <c r="S36" s="29"/>
      <c r="T36" s="17">
        <f t="shared" si="12"/>
        <v>0</v>
      </c>
      <c r="U36" s="25">
        <f t="shared" si="7"/>
        <v>1.1042584434654918</v>
      </c>
      <c r="V36" s="25"/>
      <c r="W36" s="25">
        <f t="shared" si="8"/>
        <v>1.1042584434654918</v>
      </c>
      <c r="X36" s="18"/>
      <c r="Y36" s="18"/>
      <c r="Z36" s="25"/>
    </row>
    <row r="37" spans="1:26" s="7" customFormat="1" ht="26.25" x14ac:dyDescent="0.25">
      <c r="A37" s="37">
        <v>25</v>
      </c>
      <c r="B37" s="19" t="s">
        <v>61</v>
      </c>
      <c r="C37" s="28">
        <f t="shared" si="4"/>
        <v>2994</v>
      </c>
      <c r="D37" s="29"/>
      <c r="E37" s="29"/>
      <c r="F37" s="29"/>
      <c r="G37" s="29"/>
      <c r="H37" s="29">
        <f t="shared" si="5"/>
        <v>2994</v>
      </c>
      <c r="I37" s="29"/>
      <c r="J37" s="29">
        <v>2994</v>
      </c>
      <c r="K37" s="29"/>
      <c r="L37" s="28">
        <f t="shared" si="9"/>
        <v>6259</v>
      </c>
      <c r="M37" s="29"/>
      <c r="N37" s="29">
        <f>6259-S37</f>
        <v>3265</v>
      </c>
      <c r="O37" s="29"/>
      <c r="P37" s="29"/>
      <c r="Q37" s="29">
        <f t="shared" si="6"/>
        <v>2994</v>
      </c>
      <c r="R37" s="29"/>
      <c r="S37" s="29">
        <v>2994</v>
      </c>
      <c r="T37" s="17"/>
      <c r="U37" s="25">
        <f t="shared" si="7"/>
        <v>2.0905143620574482</v>
      </c>
      <c r="V37" s="25"/>
      <c r="W37" s="25"/>
      <c r="X37" s="18"/>
      <c r="Y37" s="18"/>
      <c r="Z37" s="25">
        <f>Q37/H37</f>
        <v>1</v>
      </c>
    </row>
    <row r="38" spans="1:26" s="7" customFormat="1" ht="15.75" x14ac:dyDescent="0.25">
      <c r="A38" s="37">
        <v>26</v>
      </c>
      <c r="B38" s="16" t="s">
        <v>10</v>
      </c>
      <c r="C38" s="28">
        <f t="shared" si="4"/>
        <v>5680</v>
      </c>
      <c r="D38" s="29"/>
      <c r="E38" s="29">
        <v>5680</v>
      </c>
      <c r="F38" s="29"/>
      <c r="G38" s="29"/>
      <c r="H38" s="29">
        <f t="shared" si="5"/>
        <v>0</v>
      </c>
      <c r="I38" s="29"/>
      <c r="J38" s="29"/>
      <c r="K38" s="29"/>
      <c r="L38" s="28">
        <f t="shared" si="9"/>
        <v>9127</v>
      </c>
      <c r="M38" s="29"/>
      <c r="N38" s="29">
        <v>9127</v>
      </c>
      <c r="O38" s="29"/>
      <c r="P38" s="29"/>
      <c r="Q38" s="29">
        <f t="shared" si="6"/>
        <v>0</v>
      </c>
      <c r="R38" s="29"/>
      <c r="S38" s="29"/>
      <c r="T38" s="17"/>
      <c r="U38" s="25">
        <f t="shared" si="7"/>
        <v>1.6068661971830986</v>
      </c>
      <c r="V38" s="25"/>
      <c r="W38" s="25">
        <f t="shared" ref="W38:W56" si="13">N38/E38</f>
        <v>1.6068661971830986</v>
      </c>
      <c r="X38" s="18"/>
      <c r="Y38" s="18"/>
      <c r="Z38" s="25"/>
    </row>
    <row r="39" spans="1:26" s="7" customFormat="1" ht="15.75" x14ac:dyDescent="0.25">
      <c r="A39" s="38" t="s">
        <v>5</v>
      </c>
      <c r="B39" s="20" t="s">
        <v>62</v>
      </c>
      <c r="C39" s="28">
        <f t="shared" ref="C39:K39" si="14">SUM(C40:C66)</f>
        <v>57393</v>
      </c>
      <c r="D39" s="28">
        <f>SUM(D40:D66)</f>
        <v>1364</v>
      </c>
      <c r="E39" s="28">
        <f t="shared" si="14"/>
        <v>55889</v>
      </c>
      <c r="F39" s="28">
        <f t="shared" si="14"/>
        <v>0</v>
      </c>
      <c r="G39" s="28">
        <f t="shared" si="14"/>
        <v>0</v>
      </c>
      <c r="H39" s="28">
        <f t="shared" si="14"/>
        <v>140</v>
      </c>
      <c r="I39" s="28">
        <f t="shared" si="14"/>
        <v>0</v>
      </c>
      <c r="J39" s="28">
        <f t="shared" si="14"/>
        <v>140</v>
      </c>
      <c r="K39" s="28">
        <f t="shared" si="14"/>
        <v>0</v>
      </c>
      <c r="L39" s="28">
        <f>SUM(L40:L66)</f>
        <v>57210</v>
      </c>
      <c r="M39" s="28">
        <f>SUM(M40:M66)</f>
        <v>0</v>
      </c>
      <c r="N39" s="28">
        <f t="shared" ref="N39:T39" si="15">SUM(N40:N66)</f>
        <v>57070</v>
      </c>
      <c r="O39" s="28">
        <f t="shared" si="15"/>
        <v>0</v>
      </c>
      <c r="P39" s="28">
        <f t="shared" si="15"/>
        <v>0</v>
      </c>
      <c r="Q39" s="28">
        <f t="shared" si="15"/>
        <v>140</v>
      </c>
      <c r="R39" s="28">
        <f t="shared" si="15"/>
        <v>0</v>
      </c>
      <c r="S39" s="28">
        <f t="shared" si="15"/>
        <v>140</v>
      </c>
      <c r="T39" s="14">
        <f t="shared" si="15"/>
        <v>0</v>
      </c>
      <c r="U39" s="24">
        <f t="shared" si="7"/>
        <v>0.99681145784329095</v>
      </c>
      <c r="V39" s="25"/>
      <c r="W39" s="24">
        <f t="shared" si="13"/>
        <v>1.0211311707133783</v>
      </c>
      <c r="X39" s="18"/>
      <c r="Y39" s="18"/>
      <c r="Z39" s="25">
        <f>Q39/H39</f>
        <v>1</v>
      </c>
    </row>
    <row r="40" spans="1:26" s="7" customFormat="1" ht="15.75" x14ac:dyDescent="0.25">
      <c r="A40" s="37">
        <v>1</v>
      </c>
      <c r="B40" s="21" t="s">
        <v>63</v>
      </c>
      <c r="C40" s="28">
        <f t="shared" ref="C40:C72" si="16">SUM(D40:H40)+K40</f>
        <v>5700</v>
      </c>
      <c r="D40" s="29"/>
      <c r="E40" s="29">
        <v>5700</v>
      </c>
      <c r="F40" s="29"/>
      <c r="G40" s="29"/>
      <c r="H40" s="29">
        <f t="shared" si="5"/>
        <v>0</v>
      </c>
      <c r="I40" s="29"/>
      <c r="J40" s="29"/>
      <c r="K40" s="29"/>
      <c r="L40" s="28">
        <f t="shared" ref="L40:L66" si="17">SUM(M40:Q40)+T40</f>
        <v>6544</v>
      </c>
      <c r="M40" s="29"/>
      <c r="N40" s="29">
        <v>6544</v>
      </c>
      <c r="O40" s="29"/>
      <c r="P40" s="29"/>
      <c r="Q40" s="29">
        <f t="shared" si="6"/>
        <v>0</v>
      </c>
      <c r="R40" s="29"/>
      <c r="S40" s="29"/>
      <c r="T40" s="17"/>
      <c r="U40" s="25">
        <f t="shared" si="7"/>
        <v>1.1480701754385965</v>
      </c>
      <c r="V40" s="25"/>
      <c r="W40" s="25">
        <f t="shared" si="13"/>
        <v>1.1480701754385965</v>
      </c>
      <c r="X40" s="18"/>
      <c r="Y40" s="18"/>
      <c r="Z40" s="25"/>
    </row>
    <row r="41" spans="1:26" s="7" customFormat="1" ht="15.75" x14ac:dyDescent="0.25">
      <c r="A41" s="37">
        <v>2</v>
      </c>
      <c r="B41" s="21" t="s">
        <v>64</v>
      </c>
      <c r="C41" s="28">
        <f t="shared" si="16"/>
        <v>5768</v>
      </c>
      <c r="D41" s="29"/>
      <c r="E41" s="29">
        <v>5698</v>
      </c>
      <c r="F41" s="29"/>
      <c r="G41" s="29"/>
      <c r="H41" s="29">
        <f t="shared" si="5"/>
        <v>70</v>
      </c>
      <c r="I41" s="29"/>
      <c r="J41" s="29">
        <v>70</v>
      </c>
      <c r="K41" s="29"/>
      <c r="L41" s="28">
        <f t="shared" si="17"/>
        <v>8500</v>
      </c>
      <c r="M41" s="29"/>
      <c r="N41" s="29">
        <f>8500-S41</f>
        <v>8430</v>
      </c>
      <c r="O41" s="29"/>
      <c r="P41" s="29"/>
      <c r="Q41" s="29">
        <f t="shared" si="6"/>
        <v>70</v>
      </c>
      <c r="R41" s="29"/>
      <c r="S41" s="29">
        <v>70</v>
      </c>
      <c r="T41" s="17"/>
      <c r="U41" s="25">
        <f t="shared" si="7"/>
        <v>1.4736477115117892</v>
      </c>
      <c r="V41" s="25"/>
      <c r="W41" s="25">
        <f t="shared" si="13"/>
        <v>1.4794664794664794</v>
      </c>
      <c r="X41" s="18"/>
      <c r="Y41" s="18"/>
      <c r="Z41" s="25">
        <f>Q41/H41</f>
        <v>1</v>
      </c>
    </row>
    <row r="42" spans="1:26" s="7" customFormat="1" ht="15.75" x14ac:dyDescent="0.25">
      <c r="A42" s="37">
        <v>3</v>
      </c>
      <c r="B42" s="21" t="s">
        <v>24</v>
      </c>
      <c r="C42" s="28">
        <f t="shared" si="16"/>
        <v>2059</v>
      </c>
      <c r="D42" s="29"/>
      <c r="E42" s="29">
        <v>2059</v>
      </c>
      <c r="F42" s="29"/>
      <c r="G42" s="29"/>
      <c r="H42" s="29">
        <f t="shared" si="5"/>
        <v>0</v>
      </c>
      <c r="I42" s="29"/>
      <c r="J42" s="29"/>
      <c r="K42" s="29"/>
      <c r="L42" s="28">
        <f t="shared" si="17"/>
        <v>2839</v>
      </c>
      <c r="M42" s="29"/>
      <c r="N42" s="29">
        <v>2839</v>
      </c>
      <c r="O42" s="29"/>
      <c r="P42" s="29"/>
      <c r="Q42" s="29">
        <f t="shared" si="6"/>
        <v>0</v>
      </c>
      <c r="R42" s="29"/>
      <c r="S42" s="29"/>
      <c r="T42" s="17"/>
      <c r="U42" s="25">
        <f t="shared" si="7"/>
        <v>1.3788246721709567</v>
      </c>
      <c r="V42" s="25"/>
      <c r="W42" s="25">
        <f t="shared" si="13"/>
        <v>1.3788246721709567</v>
      </c>
      <c r="X42" s="18"/>
      <c r="Y42" s="18"/>
      <c r="Z42" s="25"/>
    </row>
    <row r="43" spans="1:26" s="7" customFormat="1" ht="15.75" x14ac:dyDescent="0.25">
      <c r="A43" s="37">
        <v>4</v>
      </c>
      <c r="B43" s="21" t="s">
        <v>65</v>
      </c>
      <c r="C43" s="28">
        <f t="shared" si="16"/>
        <v>10618</v>
      </c>
      <c r="D43" s="29"/>
      <c r="E43" s="29">
        <v>10548</v>
      </c>
      <c r="F43" s="29"/>
      <c r="G43" s="29"/>
      <c r="H43" s="29">
        <f t="shared" si="5"/>
        <v>70</v>
      </c>
      <c r="I43" s="29"/>
      <c r="J43" s="29">
        <v>70</v>
      </c>
      <c r="K43" s="29"/>
      <c r="L43" s="28">
        <f t="shared" si="17"/>
        <v>10727</v>
      </c>
      <c r="M43" s="29"/>
      <c r="N43" s="29">
        <f>10727-S43</f>
        <v>10657</v>
      </c>
      <c r="O43" s="29"/>
      <c r="P43" s="29"/>
      <c r="Q43" s="29">
        <f t="shared" si="6"/>
        <v>70</v>
      </c>
      <c r="R43" s="29"/>
      <c r="S43" s="29">
        <v>70</v>
      </c>
      <c r="T43" s="17"/>
      <c r="U43" s="25">
        <f t="shared" si="7"/>
        <v>1.010265586739499</v>
      </c>
      <c r="V43" s="25"/>
      <c r="W43" s="25">
        <f t="shared" si="13"/>
        <v>1.0103337125521425</v>
      </c>
      <c r="X43" s="18"/>
      <c r="Y43" s="18"/>
      <c r="Z43" s="25">
        <f>Q43/H43</f>
        <v>1</v>
      </c>
    </row>
    <row r="44" spans="1:26" s="7" customFormat="1" ht="15.75" x14ac:dyDescent="0.25">
      <c r="A44" s="37">
        <v>5</v>
      </c>
      <c r="B44" s="21" t="s">
        <v>66</v>
      </c>
      <c r="C44" s="28">
        <f t="shared" si="16"/>
        <v>7214</v>
      </c>
      <c r="D44" s="29">
        <v>1364</v>
      </c>
      <c r="E44" s="29">
        <v>5850</v>
      </c>
      <c r="F44" s="29">
        <f>SUM(F46:F48)</f>
        <v>0</v>
      </c>
      <c r="G44" s="29">
        <f>SUM(G46:G48)</f>
        <v>0</v>
      </c>
      <c r="H44" s="29">
        <f t="shared" si="5"/>
        <v>0</v>
      </c>
      <c r="I44" s="29">
        <f>SUM(I46:I48)</f>
        <v>0</v>
      </c>
      <c r="J44" s="29"/>
      <c r="K44" s="28">
        <f>SUM(K46:K48)</f>
        <v>0</v>
      </c>
      <c r="L44" s="28">
        <f t="shared" si="17"/>
        <v>7393</v>
      </c>
      <c r="M44" s="29">
        <f t="shared" ref="M44:T44" si="18">SUM(M46:M48)</f>
        <v>0</v>
      </c>
      <c r="N44" s="29">
        <v>7393</v>
      </c>
      <c r="O44" s="29">
        <f t="shared" si="18"/>
        <v>0</v>
      </c>
      <c r="P44" s="29">
        <f t="shared" si="18"/>
        <v>0</v>
      </c>
      <c r="Q44" s="29">
        <f t="shared" si="6"/>
        <v>0</v>
      </c>
      <c r="R44" s="29">
        <f t="shared" si="18"/>
        <v>0</v>
      </c>
      <c r="S44" s="29"/>
      <c r="T44" s="17">
        <f t="shared" si="18"/>
        <v>0</v>
      </c>
      <c r="U44" s="25">
        <f t="shared" si="7"/>
        <v>1.024812863875797</v>
      </c>
      <c r="V44" s="25"/>
      <c r="W44" s="25">
        <f t="shared" si="13"/>
        <v>1.2637606837606838</v>
      </c>
      <c r="X44" s="18"/>
      <c r="Y44" s="18"/>
      <c r="Z44" s="25"/>
    </row>
    <row r="45" spans="1:26" s="7" customFormat="1" ht="26.25" x14ac:dyDescent="0.25">
      <c r="A45" s="37">
        <v>6</v>
      </c>
      <c r="B45" s="19" t="s">
        <v>94</v>
      </c>
      <c r="C45" s="28">
        <f t="shared" si="16"/>
        <v>8702</v>
      </c>
      <c r="D45" s="29"/>
      <c r="E45" s="29">
        <v>8702</v>
      </c>
      <c r="F45" s="29"/>
      <c r="G45" s="29"/>
      <c r="H45" s="29">
        <f>SUM(I45:J45)</f>
        <v>0</v>
      </c>
      <c r="I45" s="29"/>
      <c r="J45" s="29"/>
      <c r="K45" s="29"/>
      <c r="L45" s="28">
        <f t="shared" si="17"/>
        <v>3872</v>
      </c>
      <c r="M45" s="29"/>
      <c r="N45" s="29">
        <v>3872</v>
      </c>
      <c r="O45" s="29"/>
      <c r="P45" s="29"/>
      <c r="Q45" s="29">
        <f>SUM(R45:S45)</f>
        <v>0</v>
      </c>
      <c r="R45" s="29"/>
      <c r="S45" s="29"/>
      <c r="T45" s="17"/>
      <c r="U45" s="25">
        <f t="shared" si="7"/>
        <v>0.44495518271661688</v>
      </c>
      <c r="V45" s="25"/>
      <c r="W45" s="25">
        <f t="shared" si="13"/>
        <v>0.44495518271661688</v>
      </c>
      <c r="X45" s="18"/>
      <c r="Y45" s="18"/>
      <c r="Z45" s="25"/>
    </row>
    <row r="46" spans="1:26" s="7" customFormat="1" ht="15.75" x14ac:dyDescent="0.25">
      <c r="A46" s="37">
        <v>7</v>
      </c>
      <c r="B46" s="16" t="s">
        <v>67</v>
      </c>
      <c r="C46" s="28">
        <f t="shared" si="16"/>
        <v>1205</v>
      </c>
      <c r="D46" s="29"/>
      <c r="E46" s="29">
        <v>1205</v>
      </c>
      <c r="F46" s="29"/>
      <c r="G46" s="29"/>
      <c r="H46" s="29">
        <f t="shared" si="5"/>
        <v>0</v>
      </c>
      <c r="I46" s="29"/>
      <c r="J46" s="29"/>
      <c r="K46" s="29"/>
      <c r="L46" s="28">
        <f t="shared" si="17"/>
        <v>1197</v>
      </c>
      <c r="M46" s="29"/>
      <c r="N46" s="29">
        <v>1197</v>
      </c>
      <c r="O46" s="29"/>
      <c r="P46" s="29"/>
      <c r="Q46" s="29">
        <f t="shared" si="6"/>
        <v>0</v>
      </c>
      <c r="R46" s="29"/>
      <c r="S46" s="29"/>
      <c r="T46" s="17"/>
      <c r="U46" s="25">
        <f t="shared" si="7"/>
        <v>0.99336099585062243</v>
      </c>
      <c r="V46" s="25"/>
      <c r="W46" s="25">
        <f t="shared" si="13"/>
        <v>0.99336099585062243</v>
      </c>
      <c r="X46" s="18"/>
      <c r="Y46" s="18"/>
      <c r="Z46" s="25"/>
    </row>
    <row r="47" spans="1:26" s="7" customFormat="1" ht="15.75" x14ac:dyDescent="0.25">
      <c r="A47" s="37">
        <v>8</v>
      </c>
      <c r="B47" s="16" t="s">
        <v>68</v>
      </c>
      <c r="C47" s="28">
        <f t="shared" si="16"/>
        <v>1604</v>
      </c>
      <c r="D47" s="29"/>
      <c r="E47" s="29">
        <v>1604</v>
      </c>
      <c r="F47" s="29"/>
      <c r="G47" s="29"/>
      <c r="H47" s="29">
        <f t="shared" si="5"/>
        <v>0</v>
      </c>
      <c r="I47" s="29"/>
      <c r="J47" s="29"/>
      <c r="K47" s="29"/>
      <c r="L47" s="28">
        <f t="shared" si="17"/>
        <v>2992</v>
      </c>
      <c r="M47" s="29"/>
      <c r="N47" s="29">
        <v>2992</v>
      </c>
      <c r="O47" s="29"/>
      <c r="P47" s="29"/>
      <c r="Q47" s="29">
        <f t="shared" si="6"/>
        <v>0</v>
      </c>
      <c r="R47" s="29"/>
      <c r="S47" s="29"/>
      <c r="T47" s="17"/>
      <c r="U47" s="25">
        <f t="shared" si="7"/>
        <v>1.8653366583541147</v>
      </c>
      <c r="V47" s="25"/>
      <c r="W47" s="25">
        <f t="shared" si="13"/>
        <v>1.8653366583541147</v>
      </c>
      <c r="X47" s="18"/>
      <c r="Y47" s="18"/>
      <c r="Z47" s="25"/>
    </row>
    <row r="48" spans="1:26" s="7" customFormat="1" ht="15.75" x14ac:dyDescent="0.25">
      <c r="A48" s="37">
        <v>9</v>
      </c>
      <c r="B48" s="16" t="s">
        <v>25</v>
      </c>
      <c r="C48" s="28">
        <f t="shared" si="16"/>
        <v>4039</v>
      </c>
      <c r="D48" s="29"/>
      <c r="E48" s="29">
        <f>550+3489</f>
        <v>4039</v>
      </c>
      <c r="F48" s="29"/>
      <c r="G48" s="29"/>
      <c r="H48" s="29">
        <f t="shared" si="5"/>
        <v>0</v>
      </c>
      <c r="I48" s="29"/>
      <c r="J48" s="29"/>
      <c r="K48" s="29"/>
      <c r="L48" s="28">
        <f t="shared" si="17"/>
        <v>3891</v>
      </c>
      <c r="M48" s="29"/>
      <c r="N48" s="29">
        <f>3891-S48</f>
        <v>3891</v>
      </c>
      <c r="O48" s="29"/>
      <c r="P48" s="29"/>
      <c r="Q48" s="29">
        <f t="shared" si="6"/>
        <v>0</v>
      </c>
      <c r="R48" s="29"/>
      <c r="S48" s="29"/>
      <c r="T48" s="17"/>
      <c r="U48" s="25">
        <f t="shared" si="7"/>
        <v>0.96335726665016097</v>
      </c>
      <c r="V48" s="25"/>
      <c r="W48" s="25">
        <f t="shared" si="13"/>
        <v>0.96335726665016097</v>
      </c>
      <c r="X48" s="18"/>
      <c r="Y48" s="18"/>
      <c r="Z48" s="25" t="e">
        <f>Q48/H48</f>
        <v>#DIV/0!</v>
      </c>
    </row>
    <row r="49" spans="1:26" s="7" customFormat="1" ht="15.75" x14ac:dyDescent="0.25">
      <c r="A49" s="37">
        <v>10</v>
      </c>
      <c r="B49" s="16" t="s">
        <v>69</v>
      </c>
      <c r="C49" s="28">
        <f t="shared" si="16"/>
        <v>2079</v>
      </c>
      <c r="D49" s="28">
        <f>SUM(D50:D53)</f>
        <v>0</v>
      </c>
      <c r="E49" s="29">
        <f>127+1952</f>
        <v>2079</v>
      </c>
      <c r="F49" s="29">
        <f>SUM(F50:F53)</f>
        <v>0</v>
      </c>
      <c r="G49" s="29">
        <f>SUM(G50:G53)</f>
        <v>0</v>
      </c>
      <c r="H49" s="29">
        <f t="shared" si="5"/>
        <v>0</v>
      </c>
      <c r="I49" s="29">
        <f>SUM(I50:I53)</f>
        <v>0</v>
      </c>
      <c r="J49" s="29"/>
      <c r="K49" s="28">
        <f>SUM(K50:K53)</f>
        <v>0</v>
      </c>
      <c r="L49" s="28">
        <f t="shared" si="17"/>
        <v>1708</v>
      </c>
      <c r="M49" s="29">
        <f t="shared" ref="M49:T49" si="19">SUM(M50:M53)</f>
        <v>0</v>
      </c>
      <c r="N49" s="29">
        <f>1708-S49</f>
        <v>1708</v>
      </c>
      <c r="O49" s="29">
        <f t="shared" si="19"/>
        <v>0</v>
      </c>
      <c r="P49" s="29">
        <f t="shared" si="19"/>
        <v>0</v>
      </c>
      <c r="Q49" s="29">
        <f t="shared" si="6"/>
        <v>0</v>
      </c>
      <c r="R49" s="29">
        <f t="shared" si="19"/>
        <v>0</v>
      </c>
      <c r="S49" s="29"/>
      <c r="T49" s="17">
        <f t="shared" si="19"/>
        <v>0</v>
      </c>
      <c r="U49" s="25">
        <f t="shared" si="7"/>
        <v>0.82154882154882158</v>
      </c>
      <c r="V49" s="25"/>
      <c r="W49" s="25">
        <f t="shared" si="13"/>
        <v>0.82154882154882158</v>
      </c>
      <c r="X49" s="18"/>
      <c r="Y49" s="18"/>
      <c r="Z49" s="25" t="e">
        <f>Q49/H49</f>
        <v>#DIV/0!</v>
      </c>
    </row>
    <row r="50" spans="1:26" s="7" customFormat="1" ht="15.75" x14ac:dyDescent="0.25">
      <c r="A50" s="37">
        <v>11</v>
      </c>
      <c r="B50" s="16" t="s">
        <v>31</v>
      </c>
      <c r="C50" s="28">
        <f t="shared" si="16"/>
        <v>574</v>
      </c>
      <c r="D50" s="29"/>
      <c r="E50" s="29">
        <v>574</v>
      </c>
      <c r="F50" s="29"/>
      <c r="G50" s="29"/>
      <c r="H50" s="29">
        <f t="shared" si="5"/>
        <v>0</v>
      </c>
      <c r="I50" s="29"/>
      <c r="J50" s="29"/>
      <c r="K50" s="29"/>
      <c r="L50" s="28">
        <f t="shared" si="17"/>
        <v>334</v>
      </c>
      <c r="M50" s="29"/>
      <c r="N50" s="29">
        <v>334</v>
      </c>
      <c r="O50" s="29"/>
      <c r="P50" s="29"/>
      <c r="Q50" s="29">
        <f t="shared" si="6"/>
        <v>0</v>
      </c>
      <c r="R50" s="29"/>
      <c r="S50" s="29"/>
      <c r="T50" s="17"/>
      <c r="U50" s="25">
        <f t="shared" si="7"/>
        <v>0.58188153310104529</v>
      </c>
      <c r="V50" s="25"/>
      <c r="W50" s="25">
        <f t="shared" si="13"/>
        <v>0.58188153310104529</v>
      </c>
      <c r="X50" s="18"/>
      <c r="Y50" s="18"/>
      <c r="Z50" s="25"/>
    </row>
    <row r="51" spans="1:26" s="7" customFormat="1" ht="15.75" x14ac:dyDescent="0.25">
      <c r="A51" s="37">
        <v>12</v>
      </c>
      <c r="B51" s="16" t="s">
        <v>28</v>
      </c>
      <c r="C51" s="28">
        <f t="shared" si="16"/>
        <v>583</v>
      </c>
      <c r="D51" s="29"/>
      <c r="E51" s="29">
        <v>583</v>
      </c>
      <c r="F51" s="29"/>
      <c r="G51" s="29"/>
      <c r="H51" s="29">
        <f t="shared" si="5"/>
        <v>0</v>
      </c>
      <c r="I51" s="29"/>
      <c r="J51" s="29"/>
      <c r="K51" s="29"/>
      <c r="L51" s="28">
        <f t="shared" si="17"/>
        <v>569</v>
      </c>
      <c r="M51" s="29"/>
      <c r="N51" s="29">
        <v>569</v>
      </c>
      <c r="O51" s="29"/>
      <c r="P51" s="29"/>
      <c r="Q51" s="29">
        <f t="shared" si="6"/>
        <v>0</v>
      </c>
      <c r="R51" s="29"/>
      <c r="S51" s="29"/>
      <c r="T51" s="17"/>
      <c r="U51" s="25">
        <f t="shared" si="7"/>
        <v>0.97598627787307035</v>
      </c>
      <c r="V51" s="25"/>
      <c r="W51" s="25">
        <f t="shared" si="13"/>
        <v>0.97598627787307035</v>
      </c>
      <c r="X51" s="18"/>
      <c r="Y51" s="18"/>
      <c r="Z51" s="25"/>
    </row>
    <row r="52" spans="1:26" s="7" customFormat="1" ht="15.75" x14ac:dyDescent="0.25">
      <c r="A52" s="37">
        <v>13</v>
      </c>
      <c r="B52" s="16" t="s">
        <v>29</v>
      </c>
      <c r="C52" s="28">
        <f t="shared" si="16"/>
        <v>816</v>
      </c>
      <c r="D52" s="29"/>
      <c r="E52" s="29">
        <v>816</v>
      </c>
      <c r="F52" s="29"/>
      <c r="G52" s="29"/>
      <c r="H52" s="29">
        <f t="shared" si="5"/>
        <v>0</v>
      </c>
      <c r="I52" s="29"/>
      <c r="J52" s="29"/>
      <c r="K52" s="29"/>
      <c r="L52" s="28">
        <f t="shared" si="17"/>
        <v>543</v>
      </c>
      <c r="M52" s="29"/>
      <c r="N52" s="29">
        <v>543</v>
      </c>
      <c r="O52" s="29"/>
      <c r="P52" s="29"/>
      <c r="Q52" s="29">
        <f t="shared" si="6"/>
        <v>0</v>
      </c>
      <c r="R52" s="29"/>
      <c r="S52" s="29"/>
      <c r="T52" s="17"/>
      <c r="U52" s="25">
        <f t="shared" si="7"/>
        <v>0.6654411764705882</v>
      </c>
      <c r="V52" s="25"/>
      <c r="W52" s="25">
        <f t="shared" si="13"/>
        <v>0.6654411764705882</v>
      </c>
      <c r="X52" s="18"/>
      <c r="Y52" s="18"/>
      <c r="Z52" s="25"/>
    </row>
    <row r="53" spans="1:26" s="7" customFormat="1" ht="15.75" x14ac:dyDescent="0.25">
      <c r="A53" s="37">
        <v>14</v>
      </c>
      <c r="B53" s="16" t="s">
        <v>27</v>
      </c>
      <c r="C53" s="28">
        <f t="shared" si="16"/>
        <v>533</v>
      </c>
      <c r="D53" s="29"/>
      <c r="E53" s="29">
        <v>533</v>
      </c>
      <c r="F53" s="29"/>
      <c r="G53" s="29"/>
      <c r="H53" s="29">
        <f t="shared" si="5"/>
        <v>0</v>
      </c>
      <c r="I53" s="29"/>
      <c r="J53" s="29"/>
      <c r="K53" s="29"/>
      <c r="L53" s="28">
        <f t="shared" si="17"/>
        <v>471</v>
      </c>
      <c r="M53" s="29"/>
      <c r="N53" s="29">
        <v>471</v>
      </c>
      <c r="O53" s="29"/>
      <c r="P53" s="29"/>
      <c r="Q53" s="29">
        <f t="shared" si="6"/>
        <v>0</v>
      </c>
      <c r="R53" s="29"/>
      <c r="S53" s="29"/>
      <c r="T53" s="17"/>
      <c r="U53" s="25">
        <f t="shared" si="7"/>
        <v>0.8836772983114447</v>
      </c>
      <c r="V53" s="25"/>
      <c r="W53" s="25">
        <f t="shared" si="13"/>
        <v>0.8836772983114447</v>
      </c>
      <c r="X53" s="18"/>
      <c r="Y53" s="18"/>
      <c r="Z53" s="25"/>
    </row>
    <row r="54" spans="1:26" s="7" customFormat="1" ht="15.75" x14ac:dyDescent="0.25">
      <c r="A54" s="37">
        <v>15</v>
      </c>
      <c r="B54" s="16" t="s">
        <v>70</v>
      </c>
      <c r="C54" s="28">
        <f t="shared" si="16"/>
        <v>405</v>
      </c>
      <c r="D54" s="29"/>
      <c r="E54" s="29">
        <v>405</v>
      </c>
      <c r="F54" s="29"/>
      <c r="G54" s="29"/>
      <c r="H54" s="29">
        <f t="shared" si="5"/>
        <v>0</v>
      </c>
      <c r="I54" s="29"/>
      <c r="J54" s="29"/>
      <c r="K54" s="29"/>
      <c r="L54" s="28">
        <f t="shared" si="17"/>
        <v>396</v>
      </c>
      <c r="M54" s="29"/>
      <c r="N54" s="29">
        <v>396</v>
      </c>
      <c r="O54" s="29"/>
      <c r="P54" s="29"/>
      <c r="Q54" s="29">
        <f t="shared" si="6"/>
        <v>0</v>
      </c>
      <c r="R54" s="29"/>
      <c r="S54" s="29"/>
      <c r="T54" s="17"/>
      <c r="U54" s="25">
        <f t="shared" si="7"/>
        <v>0.97777777777777775</v>
      </c>
      <c r="V54" s="25"/>
      <c r="W54" s="25">
        <f t="shared" si="13"/>
        <v>0.97777777777777775</v>
      </c>
      <c r="X54" s="18"/>
      <c r="Y54" s="18"/>
      <c r="Z54" s="25"/>
    </row>
    <row r="55" spans="1:26" s="7" customFormat="1" ht="15.75" x14ac:dyDescent="0.25">
      <c r="A55" s="37">
        <v>16</v>
      </c>
      <c r="B55" s="16" t="s">
        <v>26</v>
      </c>
      <c r="C55" s="28">
        <f t="shared" si="16"/>
        <v>248</v>
      </c>
      <c r="D55" s="29"/>
      <c r="E55" s="29">
        <v>248</v>
      </c>
      <c r="F55" s="29"/>
      <c r="G55" s="29"/>
      <c r="H55" s="29">
        <f t="shared" si="5"/>
        <v>0</v>
      </c>
      <c r="I55" s="29"/>
      <c r="J55" s="29"/>
      <c r="K55" s="29"/>
      <c r="L55" s="28">
        <f t="shared" si="17"/>
        <v>201</v>
      </c>
      <c r="M55" s="29"/>
      <c r="N55" s="29">
        <v>201</v>
      </c>
      <c r="O55" s="29"/>
      <c r="P55" s="29"/>
      <c r="Q55" s="29">
        <f t="shared" si="6"/>
        <v>0</v>
      </c>
      <c r="R55" s="29"/>
      <c r="S55" s="29"/>
      <c r="T55" s="17"/>
      <c r="U55" s="25">
        <f t="shared" si="7"/>
        <v>0.81048387096774188</v>
      </c>
      <c r="V55" s="25"/>
      <c r="W55" s="25">
        <f t="shared" si="13"/>
        <v>0.81048387096774188</v>
      </c>
      <c r="X55" s="18"/>
      <c r="Y55" s="18"/>
      <c r="Z55" s="25"/>
    </row>
    <row r="56" spans="1:26" s="7" customFormat="1" ht="15.75" x14ac:dyDescent="0.25">
      <c r="A56" s="37">
        <v>17</v>
      </c>
      <c r="B56" s="16" t="s">
        <v>30</v>
      </c>
      <c r="C56" s="28">
        <f t="shared" si="16"/>
        <v>341</v>
      </c>
      <c r="D56" s="29">
        <f>SUM(D57:D59)</f>
        <v>0</v>
      </c>
      <c r="E56" s="29">
        <v>341</v>
      </c>
      <c r="F56" s="29">
        <f>SUM(F57:F59)</f>
        <v>0</v>
      </c>
      <c r="G56" s="29">
        <f>SUM(G57:G59)</f>
        <v>0</v>
      </c>
      <c r="H56" s="29">
        <f t="shared" si="5"/>
        <v>0</v>
      </c>
      <c r="I56" s="29">
        <f>SUM(I57:I59)</f>
        <v>0</v>
      </c>
      <c r="J56" s="29"/>
      <c r="K56" s="28">
        <f>SUM(K57:K59)</f>
        <v>0</v>
      </c>
      <c r="L56" s="28">
        <f t="shared" si="17"/>
        <v>337</v>
      </c>
      <c r="M56" s="29">
        <f t="shared" ref="M56:T56" si="20">SUM(M57:M59)</f>
        <v>0</v>
      </c>
      <c r="N56" s="29">
        <v>337</v>
      </c>
      <c r="O56" s="29">
        <f t="shared" si="20"/>
        <v>0</v>
      </c>
      <c r="P56" s="29">
        <f t="shared" si="20"/>
        <v>0</v>
      </c>
      <c r="Q56" s="29">
        <f t="shared" si="6"/>
        <v>0</v>
      </c>
      <c r="R56" s="29">
        <f t="shared" si="20"/>
        <v>0</v>
      </c>
      <c r="S56" s="29">
        <f t="shared" si="20"/>
        <v>0</v>
      </c>
      <c r="T56" s="17">
        <f t="shared" si="20"/>
        <v>0</v>
      </c>
      <c r="U56" s="25">
        <f t="shared" si="7"/>
        <v>0.98826979472140764</v>
      </c>
      <c r="V56" s="25"/>
      <c r="W56" s="25">
        <f t="shared" si="13"/>
        <v>0.98826979472140764</v>
      </c>
      <c r="X56" s="18"/>
      <c r="Y56" s="18"/>
      <c r="Z56" s="25"/>
    </row>
    <row r="57" spans="1:26" s="7" customFormat="1" ht="15.75" x14ac:dyDescent="0.25">
      <c r="A57" s="37">
        <v>18</v>
      </c>
      <c r="B57" s="16" t="s">
        <v>71</v>
      </c>
      <c r="C57" s="28">
        <f t="shared" si="16"/>
        <v>0</v>
      </c>
      <c r="D57" s="29"/>
      <c r="E57" s="29"/>
      <c r="F57" s="29"/>
      <c r="G57" s="29"/>
      <c r="H57" s="29">
        <f t="shared" si="5"/>
        <v>0</v>
      </c>
      <c r="I57" s="29"/>
      <c r="J57" s="29"/>
      <c r="K57" s="29"/>
      <c r="L57" s="28">
        <f t="shared" si="17"/>
        <v>60</v>
      </c>
      <c r="M57" s="29"/>
      <c r="N57" s="29">
        <v>60</v>
      </c>
      <c r="O57" s="29"/>
      <c r="P57" s="29"/>
      <c r="Q57" s="29">
        <f t="shared" si="6"/>
        <v>0</v>
      </c>
      <c r="R57" s="29"/>
      <c r="S57" s="29"/>
      <c r="T57" s="17"/>
      <c r="U57" s="25"/>
      <c r="V57" s="25"/>
      <c r="W57" s="25"/>
      <c r="X57" s="18"/>
      <c r="Y57" s="18"/>
      <c r="Z57" s="25"/>
    </row>
    <row r="58" spans="1:26" s="7" customFormat="1" ht="15.75" x14ac:dyDescent="0.25">
      <c r="A58" s="37">
        <v>19</v>
      </c>
      <c r="B58" s="16" t="s">
        <v>72</v>
      </c>
      <c r="C58" s="28">
        <f t="shared" si="16"/>
        <v>0</v>
      </c>
      <c r="D58" s="29"/>
      <c r="E58" s="29"/>
      <c r="F58" s="29"/>
      <c r="G58" s="29"/>
      <c r="H58" s="29">
        <f t="shared" si="5"/>
        <v>0</v>
      </c>
      <c r="I58" s="29"/>
      <c r="J58" s="29"/>
      <c r="K58" s="29"/>
      <c r="L58" s="28">
        <f t="shared" si="17"/>
        <v>40</v>
      </c>
      <c r="M58" s="29"/>
      <c r="N58" s="29">
        <v>40</v>
      </c>
      <c r="O58" s="29"/>
      <c r="P58" s="29"/>
      <c r="Q58" s="29">
        <f t="shared" si="6"/>
        <v>0</v>
      </c>
      <c r="R58" s="29"/>
      <c r="S58" s="29"/>
      <c r="T58" s="17"/>
      <c r="U58" s="25"/>
      <c r="V58" s="25"/>
      <c r="W58" s="25"/>
      <c r="X58" s="18"/>
      <c r="Y58" s="18"/>
      <c r="Z58" s="25"/>
    </row>
    <row r="59" spans="1:26" s="7" customFormat="1" ht="15.75" x14ac:dyDescent="0.25">
      <c r="A59" s="37">
        <v>20</v>
      </c>
      <c r="B59" s="16" t="s">
        <v>73</v>
      </c>
      <c r="C59" s="28">
        <f t="shared" si="16"/>
        <v>0</v>
      </c>
      <c r="D59" s="29"/>
      <c r="E59" s="29"/>
      <c r="F59" s="29"/>
      <c r="G59" s="29"/>
      <c r="H59" s="29">
        <f t="shared" si="5"/>
        <v>0</v>
      </c>
      <c r="I59" s="29"/>
      <c r="J59" s="29"/>
      <c r="K59" s="29"/>
      <c r="L59" s="28">
        <f t="shared" si="17"/>
        <v>50</v>
      </c>
      <c r="M59" s="29"/>
      <c r="N59" s="29">
        <v>50</v>
      </c>
      <c r="O59" s="29"/>
      <c r="P59" s="29"/>
      <c r="Q59" s="29">
        <f t="shared" si="6"/>
        <v>0</v>
      </c>
      <c r="R59" s="29"/>
      <c r="S59" s="29"/>
      <c r="T59" s="17"/>
      <c r="U59" s="25"/>
      <c r="V59" s="25"/>
      <c r="W59" s="25"/>
      <c r="X59" s="18"/>
      <c r="Y59" s="18"/>
      <c r="Z59" s="25"/>
    </row>
    <row r="60" spans="1:26" s="7" customFormat="1" ht="15.75" x14ac:dyDescent="0.25">
      <c r="A60" s="37">
        <v>21</v>
      </c>
      <c r="B60" s="16" t="s">
        <v>75</v>
      </c>
      <c r="C60" s="28">
        <f t="shared" si="16"/>
        <v>2622</v>
      </c>
      <c r="D60" s="28"/>
      <c r="E60" s="29">
        <v>2622</v>
      </c>
      <c r="F60" s="29">
        <f>SUM(F61:F91)</f>
        <v>0</v>
      </c>
      <c r="G60" s="29">
        <f>SUM(G61:G91)</f>
        <v>0</v>
      </c>
      <c r="H60" s="29">
        <f t="shared" si="5"/>
        <v>0</v>
      </c>
      <c r="I60" s="29"/>
      <c r="J60" s="29"/>
      <c r="K60" s="28">
        <f>SUM(K61:K91)</f>
        <v>0</v>
      </c>
      <c r="L60" s="28">
        <f t="shared" si="17"/>
        <v>1649</v>
      </c>
      <c r="M60" s="29"/>
      <c r="N60" s="29">
        <v>1649</v>
      </c>
      <c r="O60" s="29">
        <f>SUM(O61:O91)</f>
        <v>0</v>
      </c>
      <c r="P60" s="29">
        <f>SUM(P61:P91)</f>
        <v>0</v>
      </c>
      <c r="Q60" s="29">
        <f t="shared" si="6"/>
        <v>0</v>
      </c>
      <c r="R60" s="29"/>
      <c r="S60" s="29"/>
      <c r="T60" s="17">
        <f>SUM(T61:T91)</f>
        <v>0</v>
      </c>
      <c r="U60" s="25"/>
      <c r="V60" s="25"/>
      <c r="W60" s="25">
        <f>N60/E60</f>
        <v>0.62890922959572848</v>
      </c>
      <c r="X60" s="18"/>
      <c r="Y60" s="18"/>
      <c r="Z60" s="25"/>
    </row>
    <row r="61" spans="1:26" s="7" customFormat="1" ht="15.75" x14ac:dyDescent="0.25">
      <c r="A61" s="37">
        <v>22</v>
      </c>
      <c r="B61" s="16" t="s">
        <v>76</v>
      </c>
      <c r="C61" s="28">
        <f t="shared" si="16"/>
        <v>0</v>
      </c>
      <c r="D61" s="29"/>
      <c r="E61" s="29"/>
      <c r="F61" s="29"/>
      <c r="G61" s="29"/>
      <c r="H61" s="29">
        <f t="shared" si="5"/>
        <v>0</v>
      </c>
      <c r="I61" s="29"/>
      <c r="J61" s="29"/>
      <c r="K61" s="29"/>
      <c r="L61" s="28">
        <f t="shared" si="17"/>
        <v>740</v>
      </c>
      <c r="M61" s="29"/>
      <c r="N61" s="29">
        <v>740</v>
      </c>
      <c r="O61" s="29"/>
      <c r="P61" s="29"/>
      <c r="Q61" s="29">
        <f t="shared" si="6"/>
        <v>0</v>
      </c>
      <c r="R61" s="29"/>
      <c r="S61" s="29"/>
      <c r="T61" s="17"/>
      <c r="U61" s="25"/>
      <c r="V61" s="25"/>
      <c r="W61" s="25"/>
      <c r="X61" s="18"/>
      <c r="Y61" s="18"/>
      <c r="Z61" s="25"/>
    </row>
    <row r="62" spans="1:26" s="7" customFormat="1" ht="15.75" x14ac:dyDescent="0.25">
      <c r="A62" s="37">
        <v>23</v>
      </c>
      <c r="B62" s="16" t="s">
        <v>77</v>
      </c>
      <c r="C62" s="28">
        <f t="shared" si="16"/>
        <v>100</v>
      </c>
      <c r="D62" s="29"/>
      <c r="E62" s="29">
        <v>100</v>
      </c>
      <c r="F62" s="29"/>
      <c r="G62" s="29"/>
      <c r="H62" s="29">
        <f t="shared" si="5"/>
        <v>0</v>
      </c>
      <c r="I62" s="29"/>
      <c r="J62" s="29"/>
      <c r="K62" s="29"/>
      <c r="L62" s="28">
        <f t="shared" si="17"/>
        <v>100</v>
      </c>
      <c r="M62" s="29"/>
      <c r="N62" s="29">
        <v>100</v>
      </c>
      <c r="O62" s="29"/>
      <c r="P62" s="29"/>
      <c r="Q62" s="29">
        <f t="shared" si="6"/>
        <v>0</v>
      </c>
      <c r="R62" s="29"/>
      <c r="S62" s="29"/>
      <c r="T62" s="17"/>
      <c r="U62" s="25">
        <f t="shared" ref="U62:U68" si="21">L62/C62</f>
        <v>1</v>
      </c>
      <c r="V62" s="25"/>
      <c r="W62" s="25">
        <f t="shared" ref="W62:W68" si="22">N62/E62</f>
        <v>1</v>
      </c>
      <c r="X62" s="18"/>
      <c r="Y62" s="18"/>
      <c r="Z62" s="25"/>
    </row>
    <row r="63" spans="1:26" s="7" customFormat="1" ht="15.75" x14ac:dyDescent="0.25">
      <c r="A63" s="37">
        <v>24</v>
      </c>
      <c r="B63" s="16" t="s">
        <v>78</v>
      </c>
      <c r="C63" s="28">
        <f t="shared" si="16"/>
        <v>681</v>
      </c>
      <c r="D63" s="29"/>
      <c r="E63" s="29">
        <v>681</v>
      </c>
      <c r="F63" s="29"/>
      <c r="G63" s="29"/>
      <c r="H63" s="29">
        <f t="shared" si="5"/>
        <v>0</v>
      </c>
      <c r="I63" s="29"/>
      <c r="J63" s="29"/>
      <c r="K63" s="29"/>
      <c r="L63" s="28">
        <f t="shared" si="17"/>
        <v>600</v>
      </c>
      <c r="M63" s="29"/>
      <c r="N63" s="29">
        <v>600</v>
      </c>
      <c r="O63" s="29"/>
      <c r="P63" s="29"/>
      <c r="Q63" s="29">
        <f t="shared" si="6"/>
        <v>0</v>
      </c>
      <c r="R63" s="29"/>
      <c r="S63" s="29"/>
      <c r="T63" s="17"/>
      <c r="U63" s="25">
        <f t="shared" si="21"/>
        <v>0.88105726872246692</v>
      </c>
      <c r="V63" s="25"/>
      <c r="W63" s="25">
        <f t="shared" si="22"/>
        <v>0.88105726872246692</v>
      </c>
      <c r="X63" s="18"/>
      <c r="Y63" s="18"/>
      <c r="Z63" s="25"/>
    </row>
    <row r="64" spans="1:26" s="7" customFormat="1" ht="26.25" x14ac:dyDescent="0.25">
      <c r="A64" s="37">
        <v>25</v>
      </c>
      <c r="B64" s="19" t="s">
        <v>79</v>
      </c>
      <c r="C64" s="28">
        <f t="shared" si="16"/>
        <v>405</v>
      </c>
      <c r="D64" s="29"/>
      <c r="E64" s="29">
        <v>405</v>
      </c>
      <c r="F64" s="29"/>
      <c r="G64" s="29"/>
      <c r="H64" s="29">
        <f t="shared" si="5"/>
        <v>0</v>
      </c>
      <c r="I64" s="29"/>
      <c r="J64" s="29"/>
      <c r="K64" s="29"/>
      <c r="L64" s="28">
        <f t="shared" si="17"/>
        <v>429</v>
      </c>
      <c r="M64" s="29"/>
      <c r="N64" s="29">
        <v>429</v>
      </c>
      <c r="O64" s="29"/>
      <c r="P64" s="29"/>
      <c r="Q64" s="29">
        <f t="shared" si="6"/>
        <v>0</v>
      </c>
      <c r="R64" s="29"/>
      <c r="S64" s="29"/>
      <c r="T64" s="17"/>
      <c r="U64" s="25">
        <f t="shared" si="21"/>
        <v>1.0592592592592593</v>
      </c>
      <c r="V64" s="25"/>
      <c r="W64" s="25">
        <f t="shared" si="22"/>
        <v>1.0592592592592593</v>
      </c>
      <c r="X64" s="18"/>
      <c r="Y64" s="18"/>
      <c r="Z64" s="25"/>
    </row>
    <row r="65" spans="1:26" s="7" customFormat="1" ht="15.75" x14ac:dyDescent="0.25">
      <c r="A65" s="37">
        <v>26</v>
      </c>
      <c r="B65" s="16" t="s">
        <v>97</v>
      </c>
      <c r="C65" s="28">
        <f t="shared" si="16"/>
        <v>347</v>
      </c>
      <c r="D65" s="29"/>
      <c r="E65" s="29">
        <v>347</v>
      </c>
      <c r="F65" s="29"/>
      <c r="G65" s="29"/>
      <c r="H65" s="29">
        <f>SUM(I65:J65)</f>
        <v>0</v>
      </c>
      <c r="I65" s="29"/>
      <c r="J65" s="29"/>
      <c r="K65" s="29"/>
      <c r="L65" s="28">
        <f t="shared" si="17"/>
        <v>333</v>
      </c>
      <c r="M65" s="29"/>
      <c r="N65" s="29">
        <v>333</v>
      </c>
      <c r="O65" s="29"/>
      <c r="P65" s="29"/>
      <c r="Q65" s="29">
        <f>SUM(R65:S65)</f>
        <v>0</v>
      </c>
      <c r="R65" s="29"/>
      <c r="S65" s="29"/>
      <c r="T65" s="17"/>
      <c r="U65" s="25">
        <f t="shared" si="21"/>
        <v>0.95965417867435154</v>
      </c>
      <c r="V65" s="25"/>
      <c r="W65" s="25">
        <f t="shared" si="22"/>
        <v>0.95965417867435154</v>
      </c>
      <c r="X65" s="18"/>
      <c r="Y65" s="18"/>
      <c r="Z65" s="25"/>
    </row>
    <row r="66" spans="1:26" s="7" customFormat="1" ht="26.25" x14ac:dyDescent="0.25">
      <c r="A66" s="37">
        <v>27</v>
      </c>
      <c r="B66" s="19" t="s">
        <v>80</v>
      </c>
      <c r="C66" s="28">
        <f t="shared" si="16"/>
        <v>750</v>
      </c>
      <c r="D66" s="29"/>
      <c r="E66" s="29">
        <v>750</v>
      </c>
      <c r="F66" s="29"/>
      <c r="G66" s="29"/>
      <c r="H66" s="29">
        <f t="shared" si="5"/>
        <v>0</v>
      </c>
      <c r="I66" s="29"/>
      <c r="J66" s="29"/>
      <c r="K66" s="29"/>
      <c r="L66" s="28">
        <f t="shared" si="17"/>
        <v>695</v>
      </c>
      <c r="M66" s="29"/>
      <c r="N66" s="29">
        <v>695</v>
      </c>
      <c r="O66" s="29"/>
      <c r="P66" s="29"/>
      <c r="Q66" s="29">
        <f t="shared" si="6"/>
        <v>0</v>
      </c>
      <c r="R66" s="29"/>
      <c r="S66" s="29"/>
      <c r="T66" s="17"/>
      <c r="U66" s="25">
        <f t="shared" si="21"/>
        <v>0.92666666666666664</v>
      </c>
      <c r="V66" s="25"/>
      <c r="W66" s="25">
        <f t="shared" si="22"/>
        <v>0.92666666666666664</v>
      </c>
      <c r="X66" s="18"/>
      <c r="Y66" s="18"/>
      <c r="Z66" s="25"/>
    </row>
    <row r="67" spans="1:26" s="7" customFormat="1" ht="15.75" x14ac:dyDescent="0.25">
      <c r="A67" s="38" t="s">
        <v>20</v>
      </c>
      <c r="B67" s="20" t="s">
        <v>81</v>
      </c>
      <c r="C67" s="28">
        <f>C68+C69</f>
        <v>165599</v>
      </c>
      <c r="D67" s="28">
        <f>D68+D69</f>
        <v>15862</v>
      </c>
      <c r="E67" s="28">
        <f>E68+E69</f>
        <v>149737</v>
      </c>
      <c r="F67" s="28">
        <f t="shared" ref="F67:T67" si="23">F68+F69</f>
        <v>0</v>
      </c>
      <c r="G67" s="28">
        <f t="shared" si="23"/>
        <v>0</v>
      </c>
      <c r="H67" s="28">
        <f t="shared" si="23"/>
        <v>0</v>
      </c>
      <c r="I67" s="28">
        <f t="shared" si="23"/>
        <v>0</v>
      </c>
      <c r="J67" s="28">
        <f t="shared" si="23"/>
        <v>0</v>
      </c>
      <c r="K67" s="28">
        <f t="shared" si="23"/>
        <v>0</v>
      </c>
      <c r="L67" s="28">
        <f>L68+L69</f>
        <v>191421</v>
      </c>
      <c r="M67" s="28">
        <f t="shared" si="23"/>
        <v>13329</v>
      </c>
      <c r="N67" s="28">
        <f t="shared" si="23"/>
        <v>178092</v>
      </c>
      <c r="O67" s="28">
        <f t="shared" si="23"/>
        <v>0</v>
      </c>
      <c r="P67" s="28">
        <f t="shared" si="23"/>
        <v>0</v>
      </c>
      <c r="Q67" s="28">
        <f t="shared" si="23"/>
        <v>0</v>
      </c>
      <c r="R67" s="28">
        <f t="shared" si="23"/>
        <v>0</v>
      </c>
      <c r="S67" s="28">
        <f t="shared" si="23"/>
        <v>0</v>
      </c>
      <c r="T67" s="14">
        <f t="shared" si="23"/>
        <v>0</v>
      </c>
      <c r="U67" s="24">
        <f t="shared" si="21"/>
        <v>1.1559308933024959</v>
      </c>
      <c r="V67" s="25">
        <f>M67/D67</f>
        <v>0.84031017526163154</v>
      </c>
      <c r="W67" s="24">
        <f t="shared" si="22"/>
        <v>1.1893653539205407</v>
      </c>
      <c r="X67" s="18"/>
      <c r="Y67" s="18"/>
      <c r="Z67" s="25"/>
    </row>
    <row r="68" spans="1:26" s="7" customFormat="1" ht="15.75" x14ac:dyDescent="0.25">
      <c r="A68" s="37">
        <v>1</v>
      </c>
      <c r="B68" s="21" t="s">
        <v>82</v>
      </c>
      <c r="C68" s="28">
        <f t="shared" si="16"/>
        <v>149737</v>
      </c>
      <c r="D68" s="29"/>
      <c r="E68" s="29">
        <v>149737</v>
      </c>
      <c r="F68" s="29"/>
      <c r="G68" s="29"/>
      <c r="H68" s="29">
        <f t="shared" si="5"/>
        <v>0</v>
      </c>
      <c r="I68" s="29"/>
      <c r="J68" s="29"/>
      <c r="K68" s="29"/>
      <c r="L68" s="28">
        <f>SUM(M68:Q68)+T68</f>
        <v>178092</v>
      </c>
      <c r="M68" s="29"/>
      <c r="N68" s="29">
        <v>178092</v>
      </c>
      <c r="O68" s="29"/>
      <c r="P68" s="29"/>
      <c r="Q68" s="29">
        <f t="shared" si="6"/>
        <v>0</v>
      </c>
      <c r="R68" s="29"/>
      <c r="S68" s="29"/>
      <c r="T68" s="17"/>
      <c r="U68" s="25">
        <f t="shared" si="21"/>
        <v>1.1893653539205407</v>
      </c>
      <c r="V68" s="25"/>
      <c r="W68" s="25">
        <f t="shared" si="22"/>
        <v>1.1893653539205407</v>
      </c>
      <c r="X68" s="18"/>
      <c r="Y68" s="18"/>
      <c r="Z68" s="25"/>
    </row>
    <row r="69" spans="1:26" s="7" customFormat="1" ht="15.75" x14ac:dyDescent="0.25">
      <c r="A69" s="37">
        <v>2</v>
      </c>
      <c r="B69" s="19" t="s">
        <v>146</v>
      </c>
      <c r="C69" s="28">
        <f t="shared" si="16"/>
        <v>15862</v>
      </c>
      <c r="D69" s="31">
        <v>15862</v>
      </c>
      <c r="E69" s="30"/>
      <c r="F69" s="30"/>
      <c r="G69" s="30"/>
      <c r="H69" s="29">
        <f t="shared" si="5"/>
        <v>0</v>
      </c>
      <c r="I69" s="30"/>
      <c r="J69" s="30"/>
      <c r="K69" s="30"/>
      <c r="L69" s="28">
        <f>SUM(M69:Q69)+T69</f>
        <v>13329</v>
      </c>
      <c r="M69" s="29">
        <v>13329</v>
      </c>
      <c r="N69" s="29"/>
      <c r="O69" s="29"/>
      <c r="P69" s="29"/>
      <c r="Q69" s="29">
        <f t="shared" si="6"/>
        <v>0</v>
      </c>
      <c r="R69" s="29"/>
      <c r="S69" s="29"/>
      <c r="T69" s="17"/>
      <c r="U69" s="25"/>
      <c r="V69" s="25">
        <f>M69/D69</f>
        <v>0.84031017526163154</v>
      </c>
      <c r="W69" s="25"/>
      <c r="X69" s="18"/>
      <c r="Y69" s="18"/>
      <c r="Z69" s="25"/>
    </row>
    <row r="70" spans="1:26" s="7" customFormat="1" ht="15.75" x14ac:dyDescent="0.25">
      <c r="A70" s="38" t="s">
        <v>21</v>
      </c>
      <c r="B70" s="20" t="s">
        <v>83</v>
      </c>
      <c r="C70" s="28">
        <f>SUM(C71:C126)</f>
        <v>687426.4</v>
      </c>
      <c r="D70" s="28">
        <f t="shared" ref="D70:S70" si="24">SUM(D71:D126)</f>
        <v>319390</v>
      </c>
      <c r="E70" s="28">
        <f t="shared" si="24"/>
        <v>348903</v>
      </c>
      <c r="F70" s="28">
        <f t="shared" si="24"/>
        <v>0</v>
      </c>
      <c r="G70" s="28">
        <f t="shared" si="24"/>
        <v>0</v>
      </c>
      <c r="H70" s="28">
        <f t="shared" si="24"/>
        <v>19133.400000000001</v>
      </c>
      <c r="I70" s="28">
        <f t="shared" si="24"/>
        <v>15270</v>
      </c>
      <c r="J70" s="28">
        <f t="shared" si="24"/>
        <v>3863.4</v>
      </c>
      <c r="K70" s="28">
        <f t="shared" si="24"/>
        <v>0</v>
      </c>
      <c r="L70" s="28">
        <f t="shared" si="24"/>
        <v>751505.9</v>
      </c>
      <c r="M70" s="28">
        <f t="shared" si="24"/>
        <v>332122</v>
      </c>
      <c r="N70" s="28">
        <f t="shared" si="24"/>
        <v>394919</v>
      </c>
      <c r="O70" s="28">
        <f t="shared" si="24"/>
        <v>0</v>
      </c>
      <c r="P70" s="28">
        <f t="shared" si="24"/>
        <v>0</v>
      </c>
      <c r="Q70" s="28">
        <f t="shared" si="24"/>
        <v>24464.9</v>
      </c>
      <c r="R70" s="28">
        <f t="shared" si="24"/>
        <v>20616</v>
      </c>
      <c r="S70" s="28">
        <f t="shared" si="24"/>
        <v>3848.9</v>
      </c>
      <c r="T70" s="14">
        <f t="shared" ref="T70" si="25">SUM(T71:T91)</f>
        <v>0</v>
      </c>
      <c r="U70" s="24">
        <f t="shared" ref="U70:U80" si="26">L70/C70</f>
        <v>1.0932165247072267</v>
      </c>
      <c r="V70" s="25">
        <f>M70/D70</f>
        <v>1.0398634897773882</v>
      </c>
      <c r="W70" s="24">
        <f t="shared" ref="W70:W80" si="27">N70/E70</f>
        <v>1.1318876593207854</v>
      </c>
      <c r="X70" s="18"/>
      <c r="Y70" s="18"/>
      <c r="Z70" s="25">
        <f>Q70/H70</f>
        <v>1.2786488548820387</v>
      </c>
    </row>
    <row r="71" spans="1:26" s="7" customFormat="1" ht="15.75" x14ac:dyDescent="0.25">
      <c r="A71" s="37">
        <v>1</v>
      </c>
      <c r="B71" s="16" t="s">
        <v>84</v>
      </c>
      <c r="C71" s="28">
        <f t="shared" si="16"/>
        <v>53948</v>
      </c>
      <c r="D71" s="29"/>
      <c r="E71" s="29">
        <v>53948</v>
      </c>
      <c r="F71" s="29"/>
      <c r="G71" s="29"/>
      <c r="H71" s="29">
        <f t="shared" si="5"/>
        <v>0</v>
      </c>
      <c r="I71" s="29"/>
      <c r="J71" s="29"/>
      <c r="K71" s="29"/>
      <c r="L71" s="28">
        <f t="shared" ref="L71:L101" si="28">SUM(M71:Q71)+T71</f>
        <v>48141</v>
      </c>
      <c r="M71" s="29"/>
      <c r="N71" s="29">
        <v>48141</v>
      </c>
      <c r="O71" s="29"/>
      <c r="P71" s="29"/>
      <c r="Q71" s="29">
        <f t="shared" si="6"/>
        <v>0</v>
      </c>
      <c r="R71" s="29"/>
      <c r="S71" s="29"/>
      <c r="T71" s="17"/>
      <c r="U71" s="25">
        <f t="shared" si="26"/>
        <v>0.89235930896418769</v>
      </c>
      <c r="V71" s="25"/>
      <c r="W71" s="25">
        <f t="shared" si="27"/>
        <v>0.89235930896418769</v>
      </c>
      <c r="X71" s="18"/>
      <c r="Y71" s="18"/>
      <c r="Z71" s="25"/>
    </row>
    <row r="72" spans="1:26" s="7" customFormat="1" ht="15.75" x14ac:dyDescent="0.25">
      <c r="A72" s="37">
        <v>2</v>
      </c>
      <c r="B72" s="16" t="s">
        <v>32</v>
      </c>
      <c r="C72" s="28">
        <f t="shared" si="16"/>
        <v>34101</v>
      </c>
      <c r="D72" s="29">
        <v>5043</v>
      </c>
      <c r="E72" s="29">
        <v>29058</v>
      </c>
      <c r="F72" s="29"/>
      <c r="G72" s="29"/>
      <c r="H72" s="29">
        <f t="shared" si="5"/>
        <v>0</v>
      </c>
      <c r="I72" s="29"/>
      <c r="J72" s="29"/>
      <c r="K72" s="29"/>
      <c r="L72" s="28">
        <f t="shared" si="28"/>
        <v>41989</v>
      </c>
      <c r="M72" s="29">
        <v>5043</v>
      </c>
      <c r="N72" s="29">
        <v>36946</v>
      </c>
      <c r="O72" s="29"/>
      <c r="P72" s="29"/>
      <c r="Q72" s="29">
        <f t="shared" si="6"/>
        <v>0</v>
      </c>
      <c r="R72" s="29"/>
      <c r="S72" s="29"/>
      <c r="T72" s="17"/>
      <c r="U72" s="25">
        <f t="shared" si="26"/>
        <v>1.2313128647253746</v>
      </c>
      <c r="V72" s="25">
        <f>M72/D72</f>
        <v>1</v>
      </c>
      <c r="W72" s="25">
        <f t="shared" si="27"/>
        <v>1.2714570858283434</v>
      </c>
      <c r="X72" s="18"/>
      <c r="Y72" s="18"/>
      <c r="Z72" s="25"/>
    </row>
    <row r="73" spans="1:26" s="7" customFormat="1" ht="15.75" x14ac:dyDescent="0.25">
      <c r="A73" s="37">
        <v>3</v>
      </c>
      <c r="B73" s="16" t="s">
        <v>85</v>
      </c>
      <c r="C73" s="28">
        <f t="shared" ref="C73:C135" si="29">SUM(D73:H73)+K73</f>
        <v>36276</v>
      </c>
      <c r="D73" s="29"/>
      <c r="E73" s="29">
        <v>36276</v>
      </c>
      <c r="F73" s="29"/>
      <c r="G73" s="29"/>
      <c r="H73" s="29">
        <f t="shared" si="5"/>
        <v>0</v>
      </c>
      <c r="I73" s="29"/>
      <c r="J73" s="29"/>
      <c r="K73" s="29"/>
      <c r="L73" s="28">
        <f t="shared" si="28"/>
        <v>45724</v>
      </c>
      <c r="M73" s="29"/>
      <c r="N73" s="29">
        <v>45724</v>
      </c>
      <c r="O73" s="29"/>
      <c r="P73" s="29"/>
      <c r="Q73" s="29">
        <f t="shared" si="6"/>
        <v>0</v>
      </c>
      <c r="R73" s="29"/>
      <c r="S73" s="29"/>
      <c r="T73" s="17"/>
      <c r="U73" s="25">
        <f t="shared" si="26"/>
        <v>1.2604476789061638</v>
      </c>
      <c r="V73" s="25" t="e">
        <f>M73/D73</f>
        <v>#DIV/0!</v>
      </c>
      <c r="W73" s="25">
        <f t="shared" si="27"/>
        <v>1.2604476789061638</v>
      </c>
      <c r="X73" s="18"/>
      <c r="Y73" s="18"/>
      <c r="Z73" s="25"/>
    </row>
    <row r="74" spans="1:26" s="7" customFormat="1" ht="15.75" x14ac:dyDescent="0.25">
      <c r="A74" s="37">
        <v>4</v>
      </c>
      <c r="B74" s="16" t="s">
        <v>86</v>
      </c>
      <c r="C74" s="28">
        <f t="shared" si="29"/>
        <v>52829</v>
      </c>
      <c r="D74" s="29"/>
      <c r="E74" s="29">
        <v>52829</v>
      </c>
      <c r="F74" s="29"/>
      <c r="G74" s="29"/>
      <c r="H74" s="29">
        <f t="shared" si="5"/>
        <v>0</v>
      </c>
      <c r="I74" s="29"/>
      <c r="J74" s="29"/>
      <c r="K74" s="29"/>
      <c r="L74" s="28">
        <f t="shared" si="28"/>
        <v>55615</v>
      </c>
      <c r="M74" s="29"/>
      <c r="N74" s="29">
        <v>55615</v>
      </c>
      <c r="O74" s="29"/>
      <c r="P74" s="29"/>
      <c r="Q74" s="29">
        <f t="shared" si="6"/>
        <v>0</v>
      </c>
      <c r="R74" s="29"/>
      <c r="S74" s="29"/>
      <c r="T74" s="17"/>
      <c r="U74" s="25">
        <f t="shared" si="26"/>
        <v>1.0527361865641978</v>
      </c>
      <c r="V74" s="25" t="e">
        <f>M74/D74</f>
        <v>#DIV/0!</v>
      </c>
      <c r="W74" s="25">
        <f t="shared" si="27"/>
        <v>1.0527361865641978</v>
      </c>
      <c r="X74" s="18"/>
      <c r="Y74" s="18"/>
      <c r="Z74" s="25"/>
    </row>
    <row r="75" spans="1:26" s="7" customFormat="1" ht="15.75" x14ac:dyDescent="0.25">
      <c r="A75" s="37">
        <v>5</v>
      </c>
      <c r="B75" s="16" t="s">
        <v>87</v>
      </c>
      <c r="C75" s="28">
        <f t="shared" si="29"/>
        <v>58195</v>
      </c>
      <c r="D75" s="29"/>
      <c r="E75" s="29">
        <v>58195</v>
      </c>
      <c r="F75" s="29"/>
      <c r="G75" s="29"/>
      <c r="H75" s="29">
        <f t="shared" si="5"/>
        <v>0</v>
      </c>
      <c r="I75" s="29"/>
      <c r="J75" s="29"/>
      <c r="K75" s="29"/>
      <c r="L75" s="28">
        <f t="shared" si="28"/>
        <v>67415</v>
      </c>
      <c r="M75" s="29"/>
      <c r="N75" s="29">
        <v>67415</v>
      </c>
      <c r="O75" s="29"/>
      <c r="P75" s="29"/>
      <c r="Q75" s="29">
        <f t="shared" si="6"/>
        <v>0</v>
      </c>
      <c r="R75" s="29"/>
      <c r="S75" s="29"/>
      <c r="T75" s="17"/>
      <c r="U75" s="25">
        <f t="shared" si="26"/>
        <v>1.1584328550562764</v>
      </c>
      <c r="V75" s="25"/>
      <c r="W75" s="25">
        <f t="shared" si="27"/>
        <v>1.1584328550562764</v>
      </c>
      <c r="X75" s="18"/>
      <c r="Y75" s="18"/>
      <c r="Z75" s="25"/>
    </row>
    <row r="76" spans="1:26" s="7" customFormat="1" ht="26.25" x14ac:dyDescent="0.25">
      <c r="A76" s="37">
        <v>6</v>
      </c>
      <c r="B76" s="19" t="s">
        <v>88</v>
      </c>
      <c r="C76" s="28">
        <f t="shared" si="29"/>
        <v>11839</v>
      </c>
      <c r="D76" s="29">
        <v>2060</v>
      </c>
      <c r="E76" s="29">
        <v>9779</v>
      </c>
      <c r="F76" s="29"/>
      <c r="G76" s="29"/>
      <c r="H76" s="29">
        <f t="shared" si="5"/>
        <v>0</v>
      </c>
      <c r="I76" s="29"/>
      <c r="J76" s="29"/>
      <c r="K76" s="29"/>
      <c r="L76" s="28">
        <f t="shared" si="28"/>
        <v>11838</v>
      </c>
      <c r="M76" s="29">
        <v>1830</v>
      </c>
      <c r="N76" s="29">
        <v>10008</v>
      </c>
      <c r="O76" s="29"/>
      <c r="P76" s="29"/>
      <c r="Q76" s="29">
        <f t="shared" si="6"/>
        <v>0</v>
      </c>
      <c r="R76" s="29"/>
      <c r="S76" s="29"/>
      <c r="T76" s="17"/>
      <c r="U76" s="25">
        <f t="shared" si="26"/>
        <v>0.99991553340653772</v>
      </c>
      <c r="V76" s="25">
        <f>M76/D76</f>
        <v>0.88834951456310685</v>
      </c>
      <c r="W76" s="25">
        <f t="shared" si="27"/>
        <v>1.0234175273545352</v>
      </c>
      <c r="X76" s="18"/>
      <c r="Y76" s="18"/>
      <c r="Z76" s="25"/>
    </row>
    <row r="77" spans="1:26" s="7" customFormat="1" ht="15.75" x14ac:dyDescent="0.25">
      <c r="A77" s="37">
        <v>7</v>
      </c>
      <c r="B77" s="16" t="s">
        <v>89</v>
      </c>
      <c r="C77" s="28">
        <f t="shared" si="29"/>
        <v>786</v>
      </c>
      <c r="D77" s="29"/>
      <c r="E77" s="29">
        <v>786</v>
      </c>
      <c r="F77" s="29"/>
      <c r="G77" s="29"/>
      <c r="H77" s="29">
        <f t="shared" si="5"/>
        <v>0</v>
      </c>
      <c r="I77" s="29"/>
      <c r="J77" s="29"/>
      <c r="K77" s="29"/>
      <c r="L77" s="28">
        <f t="shared" si="28"/>
        <v>399</v>
      </c>
      <c r="M77" s="29"/>
      <c r="N77" s="29">
        <v>399</v>
      </c>
      <c r="O77" s="29"/>
      <c r="P77" s="29"/>
      <c r="Q77" s="29">
        <f t="shared" si="6"/>
        <v>0</v>
      </c>
      <c r="R77" s="29"/>
      <c r="S77" s="29"/>
      <c r="T77" s="17"/>
      <c r="U77" s="25">
        <f t="shared" si="26"/>
        <v>0.50763358778625955</v>
      </c>
      <c r="V77" s="25"/>
      <c r="W77" s="25">
        <f t="shared" si="27"/>
        <v>0.50763358778625955</v>
      </c>
      <c r="X77" s="18"/>
      <c r="Y77" s="18"/>
      <c r="Z77" s="25"/>
    </row>
    <row r="78" spans="1:26" s="7" customFormat="1" ht="15.75" x14ac:dyDescent="0.25">
      <c r="A78" s="37">
        <v>8</v>
      </c>
      <c r="B78" s="22" t="s">
        <v>90</v>
      </c>
      <c r="C78" s="28">
        <f t="shared" si="29"/>
        <v>560</v>
      </c>
      <c r="D78" s="29"/>
      <c r="E78" s="29">
        <v>560</v>
      </c>
      <c r="F78" s="29"/>
      <c r="G78" s="29"/>
      <c r="H78" s="29">
        <f t="shared" si="5"/>
        <v>0</v>
      </c>
      <c r="I78" s="29"/>
      <c r="J78" s="29"/>
      <c r="K78" s="29"/>
      <c r="L78" s="28">
        <f t="shared" si="28"/>
        <v>428</v>
      </c>
      <c r="M78" s="29"/>
      <c r="N78" s="29">
        <v>428</v>
      </c>
      <c r="O78" s="29"/>
      <c r="P78" s="29"/>
      <c r="Q78" s="29">
        <f t="shared" si="6"/>
        <v>0</v>
      </c>
      <c r="R78" s="29"/>
      <c r="S78" s="29"/>
      <c r="T78" s="17"/>
      <c r="U78" s="25">
        <f t="shared" si="26"/>
        <v>0.76428571428571423</v>
      </c>
      <c r="V78" s="25"/>
      <c r="W78" s="25">
        <f t="shared" si="27"/>
        <v>0.76428571428571423</v>
      </c>
      <c r="X78" s="18"/>
      <c r="Y78" s="18"/>
      <c r="Z78" s="25"/>
    </row>
    <row r="79" spans="1:26" s="7" customFormat="1" ht="15.75" x14ac:dyDescent="0.25">
      <c r="A79" s="37">
        <v>9</v>
      </c>
      <c r="B79" s="16" t="s">
        <v>91</v>
      </c>
      <c r="C79" s="28">
        <f t="shared" si="29"/>
        <v>10417</v>
      </c>
      <c r="D79" s="29"/>
      <c r="E79" s="29">
        <v>10417</v>
      </c>
      <c r="F79" s="29"/>
      <c r="G79" s="29"/>
      <c r="H79" s="29">
        <f t="shared" si="5"/>
        <v>0</v>
      </c>
      <c r="I79" s="29"/>
      <c r="J79" s="29"/>
      <c r="K79" s="29"/>
      <c r="L79" s="28">
        <f t="shared" si="28"/>
        <v>13843</v>
      </c>
      <c r="M79" s="29"/>
      <c r="N79" s="29">
        <v>13843</v>
      </c>
      <c r="O79" s="29"/>
      <c r="P79" s="29"/>
      <c r="Q79" s="29">
        <f t="shared" si="6"/>
        <v>0</v>
      </c>
      <c r="R79" s="29"/>
      <c r="S79" s="29"/>
      <c r="T79" s="17"/>
      <c r="U79" s="25">
        <f t="shared" si="26"/>
        <v>1.3288854756647788</v>
      </c>
      <c r="V79" s="25"/>
      <c r="W79" s="25">
        <f t="shared" si="27"/>
        <v>1.3288854756647788</v>
      </c>
      <c r="X79" s="18"/>
      <c r="Y79" s="18"/>
      <c r="Z79" s="25"/>
    </row>
    <row r="80" spans="1:26" s="7" customFormat="1" ht="15.75" x14ac:dyDescent="0.25">
      <c r="A80" s="37">
        <v>10</v>
      </c>
      <c r="B80" s="16" t="s">
        <v>74</v>
      </c>
      <c r="C80" s="28">
        <f t="shared" si="29"/>
        <v>3601</v>
      </c>
      <c r="D80" s="29"/>
      <c r="E80" s="29">
        <v>3601</v>
      </c>
      <c r="F80" s="29"/>
      <c r="G80" s="29"/>
      <c r="H80" s="29">
        <f>SUM(I80:J80)</f>
        <v>0</v>
      </c>
      <c r="I80" s="29"/>
      <c r="J80" s="29"/>
      <c r="K80" s="29"/>
      <c r="L80" s="28">
        <f t="shared" si="28"/>
        <v>3576</v>
      </c>
      <c r="M80" s="29"/>
      <c r="N80" s="29">
        <v>3576</v>
      </c>
      <c r="O80" s="29"/>
      <c r="P80" s="29"/>
      <c r="Q80" s="29">
        <f>SUM(R80:S80)</f>
        <v>0</v>
      </c>
      <c r="R80" s="29"/>
      <c r="S80" s="29"/>
      <c r="T80" s="17"/>
      <c r="U80" s="25">
        <f t="shared" si="26"/>
        <v>0.99305748403221328</v>
      </c>
      <c r="V80" s="25"/>
      <c r="W80" s="25">
        <f t="shared" si="27"/>
        <v>0.99305748403221328</v>
      </c>
      <c r="X80" s="18"/>
      <c r="Y80" s="18"/>
      <c r="Z80" s="25"/>
    </row>
    <row r="81" spans="1:26" s="7" customFormat="1" ht="15.75" x14ac:dyDescent="0.25">
      <c r="A81" s="37">
        <v>11</v>
      </c>
      <c r="B81" s="23" t="s">
        <v>92</v>
      </c>
      <c r="C81" s="28">
        <f t="shared" si="29"/>
        <v>0</v>
      </c>
      <c r="D81" s="29"/>
      <c r="E81" s="29"/>
      <c r="F81" s="32"/>
      <c r="G81" s="32"/>
      <c r="H81" s="29">
        <f t="shared" ref="H81:H135" si="30">SUM(I81:J81)</f>
        <v>0</v>
      </c>
      <c r="I81" s="32"/>
      <c r="J81" s="32"/>
      <c r="K81" s="29"/>
      <c r="L81" s="28">
        <f t="shared" si="28"/>
        <v>3067</v>
      </c>
      <c r="M81" s="29"/>
      <c r="N81" s="29">
        <v>3067</v>
      </c>
      <c r="O81" s="32"/>
      <c r="P81" s="32"/>
      <c r="Q81" s="29">
        <f t="shared" ref="Q81:Q135" si="31">SUM(R81:S81)</f>
        <v>0</v>
      </c>
      <c r="R81" s="32"/>
      <c r="S81" s="32"/>
      <c r="T81" s="17"/>
      <c r="U81" s="25"/>
      <c r="V81" s="25"/>
      <c r="W81" s="24"/>
      <c r="X81" s="18"/>
      <c r="Y81" s="18"/>
      <c r="Z81" s="25"/>
    </row>
    <row r="82" spans="1:26" s="7" customFormat="1" ht="26.25" x14ac:dyDescent="0.25">
      <c r="A82" s="37">
        <v>12</v>
      </c>
      <c r="B82" s="23" t="s">
        <v>93</v>
      </c>
      <c r="C82" s="28">
        <f t="shared" si="29"/>
        <v>1529</v>
      </c>
      <c r="D82" s="29"/>
      <c r="E82" s="29">
        <v>1529</v>
      </c>
      <c r="F82" s="29"/>
      <c r="G82" s="29"/>
      <c r="H82" s="29">
        <f t="shared" si="30"/>
        <v>0</v>
      </c>
      <c r="I82" s="29"/>
      <c r="J82" s="29"/>
      <c r="K82" s="29"/>
      <c r="L82" s="28">
        <f t="shared" si="28"/>
        <v>8772</v>
      </c>
      <c r="M82" s="29"/>
      <c r="N82" s="29">
        <v>8772</v>
      </c>
      <c r="O82" s="29"/>
      <c r="P82" s="29"/>
      <c r="Q82" s="29">
        <f t="shared" si="31"/>
        <v>0</v>
      </c>
      <c r="R82" s="29"/>
      <c r="S82" s="29"/>
      <c r="T82" s="17"/>
      <c r="U82" s="25">
        <f>L82/C82</f>
        <v>5.7370830608240677</v>
      </c>
      <c r="V82" s="25"/>
      <c r="W82" s="25">
        <f>N82/E82</f>
        <v>5.7370830608240677</v>
      </c>
      <c r="X82" s="18"/>
      <c r="Y82" s="18"/>
      <c r="Z82" s="25"/>
    </row>
    <row r="83" spans="1:26" s="7" customFormat="1" ht="26.25" x14ac:dyDescent="0.25">
      <c r="A83" s="37">
        <v>13</v>
      </c>
      <c r="B83" s="19" t="s">
        <v>95</v>
      </c>
      <c r="C83" s="28">
        <f t="shared" si="29"/>
        <v>4609</v>
      </c>
      <c r="D83" s="29">
        <v>2514</v>
      </c>
      <c r="E83" s="29">
        <v>2095</v>
      </c>
      <c r="F83" s="29"/>
      <c r="G83" s="29"/>
      <c r="H83" s="29">
        <f t="shared" si="30"/>
        <v>0</v>
      </c>
      <c r="I83" s="29"/>
      <c r="J83" s="29"/>
      <c r="K83" s="29"/>
      <c r="L83" s="28">
        <f t="shared" si="28"/>
        <v>5293</v>
      </c>
      <c r="M83" s="29">
        <v>2514</v>
      </c>
      <c r="N83" s="29">
        <v>2779</v>
      </c>
      <c r="O83" s="29"/>
      <c r="P83" s="29"/>
      <c r="Q83" s="29">
        <f t="shared" si="31"/>
        <v>0</v>
      </c>
      <c r="R83" s="29"/>
      <c r="S83" s="29"/>
      <c r="T83" s="17"/>
      <c r="U83" s="25">
        <f>L83/C83</f>
        <v>1.1484052939900196</v>
      </c>
      <c r="V83" s="25">
        <f t="shared" ref="V83:V135" si="32">M83/D83</f>
        <v>1</v>
      </c>
      <c r="W83" s="25">
        <f>N83/E83</f>
        <v>1.326491646778043</v>
      </c>
      <c r="X83" s="18"/>
      <c r="Y83" s="18"/>
      <c r="Z83" s="25"/>
    </row>
    <row r="84" spans="1:26" s="7" customFormat="1" ht="15.75" x14ac:dyDescent="0.25">
      <c r="A84" s="37">
        <v>14</v>
      </c>
      <c r="B84" s="16" t="s">
        <v>96</v>
      </c>
      <c r="C84" s="28">
        <f t="shared" si="29"/>
        <v>1500</v>
      </c>
      <c r="D84" s="29"/>
      <c r="E84" s="29">
        <v>1500</v>
      </c>
      <c r="F84" s="29"/>
      <c r="G84" s="29"/>
      <c r="H84" s="29">
        <f t="shared" si="30"/>
        <v>0</v>
      </c>
      <c r="I84" s="29"/>
      <c r="J84" s="29"/>
      <c r="K84" s="29"/>
      <c r="L84" s="28">
        <f t="shared" si="28"/>
        <v>109997</v>
      </c>
      <c r="M84" s="29">
        <v>107839</v>
      </c>
      <c r="N84" s="29">
        <v>2158</v>
      </c>
      <c r="O84" s="29"/>
      <c r="P84" s="29"/>
      <c r="Q84" s="29">
        <f t="shared" si="31"/>
        <v>0</v>
      </c>
      <c r="R84" s="29"/>
      <c r="S84" s="29"/>
      <c r="T84" s="17"/>
      <c r="U84" s="25">
        <f>L84/C84</f>
        <v>73.331333333333333</v>
      </c>
      <c r="V84" s="25"/>
      <c r="W84" s="25">
        <f>N84/E84</f>
        <v>1.4386666666666668</v>
      </c>
      <c r="X84" s="18"/>
      <c r="Y84" s="18"/>
      <c r="Z84" s="25"/>
    </row>
    <row r="85" spans="1:26" s="7" customFormat="1" ht="15.75" x14ac:dyDescent="0.25">
      <c r="A85" s="37">
        <v>15</v>
      </c>
      <c r="B85" s="16" t="s">
        <v>33</v>
      </c>
      <c r="C85" s="28">
        <f t="shared" si="29"/>
        <v>32868</v>
      </c>
      <c r="D85" s="29">
        <v>14538</v>
      </c>
      <c r="E85" s="29">
        <v>18330</v>
      </c>
      <c r="F85" s="29"/>
      <c r="G85" s="29"/>
      <c r="H85" s="29">
        <f t="shared" si="30"/>
        <v>0</v>
      </c>
      <c r="I85" s="29"/>
      <c r="J85" s="29"/>
      <c r="K85" s="29"/>
      <c r="L85" s="28">
        <f t="shared" si="28"/>
        <v>35536</v>
      </c>
      <c r="M85" s="29">
        <v>14499</v>
      </c>
      <c r="N85" s="29">
        <v>21037</v>
      </c>
      <c r="O85" s="29"/>
      <c r="P85" s="29"/>
      <c r="Q85" s="29">
        <f t="shared" si="31"/>
        <v>0</v>
      </c>
      <c r="R85" s="29"/>
      <c r="S85" s="29"/>
      <c r="T85" s="17"/>
      <c r="U85" s="25">
        <f>L85/C85</f>
        <v>1.0811731775587197</v>
      </c>
      <c r="V85" s="25">
        <f t="shared" si="32"/>
        <v>0.99731737515476682</v>
      </c>
      <c r="W85" s="25">
        <f>N85/E85</f>
        <v>1.1476813966175667</v>
      </c>
      <c r="X85" s="18"/>
      <c r="Y85" s="18"/>
      <c r="Z85" s="25"/>
    </row>
    <row r="86" spans="1:26" s="7" customFormat="1" ht="15.75" x14ac:dyDescent="0.25">
      <c r="A86" s="37">
        <v>16</v>
      </c>
      <c r="B86" s="16" t="s">
        <v>98</v>
      </c>
      <c r="C86" s="28">
        <f t="shared" si="29"/>
        <v>0</v>
      </c>
      <c r="D86" s="29"/>
      <c r="E86" s="29"/>
      <c r="F86" s="29"/>
      <c r="G86" s="29"/>
      <c r="H86" s="29">
        <f t="shared" si="30"/>
        <v>0</v>
      </c>
      <c r="I86" s="29"/>
      <c r="J86" s="29"/>
      <c r="K86" s="29"/>
      <c r="L86" s="28">
        <f t="shared" si="28"/>
        <v>250</v>
      </c>
      <c r="M86" s="29"/>
      <c r="N86" s="29">
        <v>250</v>
      </c>
      <c r="O86" s="29"/>
      <c r="P86" s="29"/>
      <c r="Q86" s="29">
        <f t="shared" si="31"/>
        <v>0</v>
      </c>
      <c r="R86" s="29"/>
      <c r="S86" s="29"/>
      <c r="T86" s="17"/>
      <c r="U86" s="25"/>
      <c r="V86" s="25"/>
      <c r="W86" s="24"/>
      <c r="X86" s="18"/>
      <c r="Y86" s="18"/>
      <c r="Z86" s="25"/>
    </row>
    <row r="87" spans="1:26" s="7" customFormat="1" ht="26.25" x14ac:dyDescent="0.25">
      <c r="A87" s="37">
        <v>17</v>
      </c>
      <c r="B87" s="19" t="s">
        <v>99</v>
      </c>
      <c r="C87" s="28">
        <f t="shared" si="29"/>
        <v>0</v>
      </c>
      <c r="D87" s="29"/>
      <c r="E87" s="29"/>
      <c r="F87" s="29"/>
      <c r="G87" s="29"/>
      <c r="H87" s="29">
        <f t="shared" si="30"/>
        <v>0</v>
      </c>
      <c r="I87" s="29"/>
      <c r="J87" s="29"/>
      <c r="K87" s="29"/>
      <c r="L87" s="28">
        <f t="shared" si="28"/>
        <v>3430</v>
      </c>
      <c r="M87" s="29"/>
      <c r="N87" s="29">
        <v>3430</v>
      </c>
      <c r="O87" s="29"/>
      <c r="P87" s="29"/>
      <c r="Q87" s="29">
        <f t="shared" si="31"/>
        <v>0</v>
      </c>
      <c r="R87" s="29"/>
      <c r="S87" s="29"/>
      <c r="T87" s="17"/>
      <c r="U87" s="25"/>
      <c r="V87" s="25"/>
      <c r="W87" s="24"/>
      <c r="X87" s="18"/>
      <c r="Y87" s="18"/>
      <c r="Z87" s="25"/>
    </row>
    <row r="88" spans="1:26" s="7" customFormat="1" ht="26.25" x14ac:dyDescent="0.25">
      <c r="A88" s="37">
        <v>18</v>
      </c>
      <c r="B88" s="19" t="s">
        <v>100</v>
      </c>
      <c r="C88" s="28">
        <f t="shared" si="29"/>
        <v>0</v>
      </c>
      <c r="D88" s="29"/>
      <c r="E88" s="29"/>
      <c r="F88" s="29"/>
      <c r="G88" s="29"/>
      <c r="H88" s="29">
        <f t="shared" si="30"/>
        <v>0</v>
      </c>
      <c r="I88" s="29"/>
      <c r="J88" s="29"/>
      <c r="K88" s="29"/>
      <c r="L88" s="28">
        <f t="shared" si="28"/>
        <v>78</v>
      </c>
      <c r="M88" s="29"/>
      <c r="N88" s="29">
        <v>78</v>
      </c>
      <c r="O88" s="29"/>
      <c r="P88" s="29"/>
      <c r="Q88" s="29">
        <f t="shared" si="31"/>
        <v>0</v>
      </c>
      <c r="R88" s="29"/>
      <c r="S88" s="29"/>
      <c r="T88" s="17"/>
      <c r="U88" s="25"/>
      <c r="V88" s="25"/>
      <c r="W88" s="24"/>
      <c r="X88" s="18"/>
      <c r="Y88" s="18"/>
      <c r="Z88" s="25"/>
    </row>
    <row r="89" spans="1:26" s="7" customFormat="1" ht="15.75" x14ac:dyDescent="0.25">
      <c r="A89" s="37">
        <v>19</v>
      </c>
      <c r="B89" s="16" t="s">
        <v>101</v>
      </c>
      <c r="C89" s="28">
        <f t="shared" si="29"/>
        <v>100</v>
      </c>
      <c r="D89" s="29"/>
      <c r="E89" s="29"/>
      <c r="F89" s="29"/>
      <c r="G89" s="29"/>
      <c r="H89" s="29">
        <f t="shared" si="30"/>
        <v>100</v>
      </c>
      <c r="I89" s="29"/>
      <c r="J89" s="29">
        <v>100</v>
      </c>
      <c r="K89" s="29"/>
      <c r="L89" s="28">
        <f t="shared" si="28"/>
        <v>100</v>
      </c>
      <c r="M89" s="29"/>
      <c r="N89" s="29"/>
      <c r="O89" s="29"/>
      <c r="P89" s="29"/>
      <c r="Q89" s="29">
        <f t="shared" si="31"/>
        <v>100</v>
      </c>
      <c r="R89" s="29"/>
      <c r="S89" s="29">
        <v>100</v>
      </c>
      <c r="T89" s="17"/>
      <c r="U89" s="25">
        <f>L89/C89</f>
        <v>1</v>
      </c>
      <c r="V89" s="25"/>
      <c r="W89" s="24"/>
      <c r="X89" s="18"/>
      <c r="Y89" s="18"/>
      <c r="Z89" s="25">
        <f>Q89/H89</f>
        <v>1</v>
      </c>
    </row>
    <row r="90" spans="1:26" s="7" customFormat="1" ht="26.25" x14ac:dyDescent="0.25">
      <c r="A90" s="37">
        <v>20</v>
      </c>
      <c r="B90" s="19" t="s">
        <v>102</v>
      </c>
      <c r="C90" s="28">
        <f>SUM(D90:H90)+K90</f>
        <v>100</v>
      </c>
      <c r="D90" s="29"/>
      <c r="E90" s="29"/>
      <c r="F90" s="29"/>
      <c r="G90" s="29"/>
      <c r="H90" s="29">
        <f t="shared" si="30"/>
        <v>100</v>
      </c>
      <c r="I90" s="29"/>
      <c r="J90" s="29">
        <v>100</v>
      </c>
      <c r="K90" s="29"/>
      <c r="L90" s="28">
        <f t="shared" si="28"/>
        <v>464</v>
      </c>
      <c r="M90" s="29"/>
      <c r="N90" s="29">
        <v>364</v>
      </c>
      <c r="O90" s="29"/>
      <c r="P90" s="29"/>
      <c r="Q90" s="29">
        <f t="shared" si="31"/>
        <v>100</v>
      </c>
      <c r="R90" s="29"/>
      <c r="S90" s="29">
        <v>100</v>
      </c>
      <c r="T90" s="17"/>
      <c r="U90" s="25">
        <f>L90/C90</f>
        <v>4.6399999999999997</v>
      </c>
      <c r="V90" s="25"/>
      <c r="W90" s="24"/>
      <c r="X90" s="18"/>
      <c r="Y90" s="18"/>
      <c r="Z90" s="25">
        <f>Q90/H90</f>
        <v>1</v>
      </c>
    </row>
    <row r="91" spans="1:26" s="7" customFormat="1" ht="15.75" x14ac:dyDescent="0.25">
      <c r="A91" s="37">
        <v>21</v>
      </c>
      <c r="B91" s="16" t="s">
        <v>103</v>
      </c>
      <c r="C91" s="28">
        <f t="shared" si="29"/>
        <v>100</v>
      </c>
      <c r="D91" s="29"/>
      <c r="E91" s="29"/>
      <c r="F91" s="29"/>
      <c r="G91" s="29"/>
      <c r="H91" s="29">
        <f t="shared" si="30"/>
        <v>100</v>
      </c>
      <c r="I91" s="29"/>
      <c r="J91" s="29">
        <v>100</v>
      </c>
      <c r="K91" s="29"/>
      <c r="L91" s="28">
        <f t="shared" si="28"/>
        <v>100</v>
      </c>
      <c r="M91" s="29"/>
      <c r="N91" s="29"/>
      <c r="O91" s="29"/>
      <c r="P91" s="29"/>
      <c r="Q91" s="29">
        <f t="shared" si="31"/>
        <v>100</v>
      </c>
      <c r="R91" s="29"/>
      <c r="S91" s="29">
        <v>100</v>
      </c>
      <c r="T91" s="17"/>
      <c r="U91" s="25">
        <f>L91/C91</f>
        <v>1</v>
      </c>
      <c r="V91" s="25"/>
      <c r="W91" s="24"/>
      <c r="X91" s="18"/>
      <c r="Y91" s="18"/>
      <c r="Z91" s="25">
        <f>Q91/H91</f>
        <v>1</v>
      </c>
    </row>
    <row r="92" spans="1:26" ht="26.25" x14ac:dyDescent="0.25">
      <c r="A92" s="37">
        <v>22</v>
      </c>
      <c r="B92" s="19" t="s">
        <v>107</v>
      </c>
      <c r="C92" s="28">
        <f t="shared" si="29"/>
        <v>1000</v>
      </c>
      <c r="D92" s="29">
        <v>1000</v>
      </c>
      <c r="E92" s="30"/>
      <c r="F92" s="30"/>
      <c r="G92" s="30"/>
      <c r="H92" s="29">
        <f t="shared" si="30"/>
        <v>0</v>
      </c>
      <c r="I92" s="30"/>
      <c r="J92" s="30"/>
      <c r="K92" s="30"/>
      <c r="L92" s="28">
        <f t="shared" si="28"/>
        <v>204</v>
      </c>
      <c r="M92" s="29">
        <v>204</v>
      </c>
      <c r="N92" s="30"/>
      <c r="O92" s="30"/>
      <c r="P92" s="30"/>
      <c r="Q92" s="29">
        <f t="shared" si="31"/>
        <v>0</v>
      </c>
      <c r="R92" s="30"/>
      <c r="S92" s="30"/>
      <c r="T92" s="26"/>
      <c r="U92" s="27"/>
      <c r="V92" s="25">
        <f t="shared" si="32"/>
        <v>0.20399999999999999</v>
      </c>
      <c r="W92" s="27"/>
      <c r="X92" s="27"/>
      <c r="Y92" s="27"/>
      <c r="Z92" s="27"/>
    </row>
    <row r="93" spans="1:26" x14ac:dyDescent="0.25">
      <c r="A93" s="37">
        <v>23</v>
      </c>
      <c r="B93" s="16" t="s">
        <v>108</v>
      </c>
      <c r="C93" s="28">
        <f t="shared" si="29"/>
        <v>116</v>
      </c>
      <c r="D93" s="29">
        <v>116</v>
      </c>
      <c r="E93" s="30"/>
      <c r="F93" s="30"/>
      <c r="G93" s="30"/>
      <c r="H93" s="29">
        <f t="shared" si="30"/>
        <v>0</v>
      </c>
      <c r="I93" s="30"/>
      <c r="J93" s="30"/>
      <c r="K93" s="30"/>
      <c r="L93" s="28">
        <f t="shared" si="28"/>
        <v>116</v>
      </c>
      <c r="M93" s="29">
        <v>116</v>
      </c>
      <c r="N93" s="30"/>
      <c r="O93" s="30"/>
      <c r="P93" s="30"/>
      <c r="Q93" s="29">
        <f t="shared" si="31"/>
        <v>0</v>
      </c>
      <c r="R93" s="30"/>
      <c r="S93" s="30"/>
      <c r="T93" s="26"/>
      <c r="U93" s="27"/>
      <c r="V93" s="25">
        <f t="shared" si="32"/>
        <v>1</v>
      </c>
      <c r="W93" s="27"/>
      <c r="X93" s="27"/>
      <c r="Y93" s="27"/>
      <c r="Z93" s="27"/>
    </row>
    <row r="94" spans="1:26" ht="26.25" x14ac:dyDescent="0.25">
      <c r="A94" s="37">
        <v>24</v>
      </c>
      <c r="B94" s="19" t="s">
        <v>109</v>
      </c>
      <c r="C94" s="28">
        <f t="shared" si="29"/>
        <v>546</v>
      </c>
      <c r="D94" s="29">
        <v>546</v>
      </c>
      <c r="E94" s="30"/>
      <c r="F94" s="30"/>
      <c r="G94" s="30"/>
      <c r="H94" s="29">
        <f t="shared" si="30"/>
        <v>0</v>
      </c>
      <c r="I94" s="30"/>
      <c r="J94" s="30"/>
      <c r="K94" s="30"/>
      <c r="L94" s="28">
        <f t="shared" si="28"/>
        <v>128</v>
      </c>
      <c r="M94" s="29">
        <v>128</v>
      </c>
      <c r="N94" s="30"/>
      <c r="O94" s="30"/>
      <c r="P94" s="30"/>
      <c r="Q94" s="29">
        <f t="shared" si="31"/>
        <v>0</v>
      </c>
      <c r="R94" s="30"/>
      <c r="S94" s="30"/>
      <c r="T94" s="26"/>
      <c r="U94" s="27"/>
      <c r="V94" s="25">
        <f t="shared" si="32"/>
        <v>0.23443223443223443</v>
      </c>
      <c r="W94" s="27"/>
      <c r="X94" s="27"/>
      <c r="Y94" s="27"/>
      <c r="Z94" s="27"/>
    </row>
    <row r="95" spans="1:26" ht="26.25" x14ac:dyDescent="0.25">
      <c r="A95" s="37">
        <v>25</v>
      </c>
      <c r="B95" s="19" t="s">
        <v>110</v>
      </c>
      <c r="C95" s="28">
        <f t="shared" si="29"/>
        <v>1917</v>
      </c>
      <c r="D95" s="29">
        <v>1917</v>
      </c>
      <c r="E95" s="30"/>
      <c r="F95" s="30"/>
      <c r="G95" s="30"/>
      <c r="H95" s="29">
        <f t="shared" si="30"/>
        <v>0</v>
      </c>
      <c r="I95" s="30"/>
      <c r="J95" s="30"/>
      <c r="K95" s="30"/>
      <c r="L95" s="28">
        <f t="shared" si="28"/>
        <v>1917</v>
      </c>
      <c r="M95" s="29">
        <v>1917</v>
      </c>
      <c r="N95" s="30"/>
      <c r="O95" s="30"/>
      <c r="P95" s="30"/>
      <c r="Q95" s="29">
        <f t="shared" si="31"/>
        <v>0</v>
      </c>
      <c r="R95" s="30"/>
      <c r="S95" s="30"/>
      <c r="T95" s="26"/>
      <c r="U95" s="27"/>
      <c r="V95" s="25">
        <f t="shared" si="32"/>
        <v>1</v>
      </c>
      <c r="W95" s="27"/>
      <c r="X95" s="27"/>
      <c r="Y95" s="27"/>
      <c r="Z95" s="27"/>
    </row>
    <row r="96" spans="1:26" ht="26.25" x14ac:dyDescent="0.25">
      <c r="A96" s="37">
        <v>26</v>
      </c>
      <c r="B96" s="19" t="s">
        <v>111</v>
      </c>
      <c r="C96" s="28">
        <f t="shared" si="29"/>
        <v>154</v>
      </c>
      <c r="D96" s="29">
        <v>154</v>
      </c>
      <c r="E96" s="30"/>
      <c r="F96" s="30"/>
      <c r="G96" s="30"/>
      <c r="H96" s="29">
        <f t="shared" si="30"/>
        <v>0</v>
      </c>
      <c r="I96" s="30"/>
      <c r="J96" s="30"/>
      <c r="K96" s="30"/>
      <c r="L96" s="28">
        <f t="shared" si="28"/>
        <v>154</v>
      </c>
      <c r="M96" s="29">
        <v>154</v>
      </c>
      <c r="N96" s="30"/>
      <c r="O96" s="30"/>
      <c r="P96" s="30"/>
      <c r="Q96" s="29">
        <f t="shared" si="31"/>
        <v>0</v>
      </c>
      <c r="R96" s="30"/>
      <c r="S96" s="30"/>
      <c r="T96" s="26"/>
      <c r="U96" s="27"/>
      <c r="V96" s="25">
        <f t="shared" si="32"/>
        <v>1</v>
      </c>
      <c r="W96" s="27"/>
      <c r="X96" s="27"/>
      <c r="Y96" s="27"/>
      <c r="Z96" s="27"/>
    </row>
    <row r="97" spans="1:26" ht="26.25" x14ac:dyDescent="0.25">
      <c r="A97" s="37">
        <v>27</v>
      </c>
      <c r="B97" s="19" t="s">
        <v>112</v>
      </c>
      <c r="C97" s="28">
        <f t="shared" si="29"/>
        <v>1330</v>
      </c>
      <c r="D97" s="29">
        <v>1330</v>
      </c>
      <c r="E97" s="30"/>
      <c r="F97" s="30"/>
      <c r="G97" s="30"/>
      <c r="H97" s="29">
        <f t="shared" si="30"/>
        <v>0</v>
      </c>
      <c r="I97" s="30"/>
      <c r="J97" s="30"/>
      <c r="K97" s="30"/>
      <c r="L97" s="28">
        <f t="shared" si="28"/>
        <v>1330</v>
      </c>
      <c r="M97" s="29">
        <v>1330</v>
      </c>
      <c r="N97" s="30"/>
      <c r="O97" s="30"/>
      <c r="P97" s="30"/>
      <c r="Q97" s="29">
        <f t="shared" si="31"/>
        <v>0</v>
      </c>
      <c r="R97" s="30"/>
      <c r="S97" s="30"/>
      <c r="T97" s="26"/>
      <c r="U97" s="27"/>
      <c r="V97" s="25">
        <f t="shared" si="32"/>
        <v>1</v>
      </c>
      <c r="W97" s="27"/>
      <c r="X97" s="27"/>
      <c r="Y97" s="27"/>
      <c r="Z97" s="27"/>
    </row>
    <row r="98" spans="1:26" x14ac:dyDescent="0.25">
      <c r="A98" s="37">
        <v>28</v>
      </c>
      <c r="B98" s="19" t="s">
        <v>113</v>
      </c>
      <c r="C98" s="28">
        <f t="shared" si="29"/>
        <v>35</v>
      </c>
      <c r="D98" s="29">
        <v>35</v>
      </c>
      <c r="E98" s="30"/>
      <c r="F98" s="30"/>
      <c r="G98" s="30"/>
      <c r="H98" s="29">
        <f t="shared" si="30"/>
        <v>0</v>
      </c>
      <c r="I98" s="30"/>
      <c r="J98" s="30"/>
      <c r="K98" s="30"/>
      <c r="L98" s="28">
        <f t="shared" si="28"/>
        <v>35</v>
      </c>
      <c r="M98" s="29">
        <v>35</v>
      </c>
      <c r="N98" s="30"/>
      <c r="O98" s="30"/>
      <c r="P98" s="30"/>
      <c r="Q98" s="29">
        <f t="shared" si="31"/>
        <v>0</v>
      </c>
      <c r="R98" s="30"/>
      <c r="S98" s="30"/>
      <c r="T98" s="26"/>
      <c r="U98" s="27"/>
      <c r="V98" s="25">
        <f t="shared" si="32"/>
        <v>1</v>
      </c>
      <c r="W98" s="27"/>
      <c r="X98" s="27"/>
      <c r="Y98" s="27"/>
      <c r="Z98" s="27"/>
    </row>
    <row r="99" spans="1:26" x14ac:dyDescent="0.25">
      <c r="A99" s="37">
        <v>29</v>
      </c>
      <c r="B99" s="19" t="s">
        <v>114</v>
      </c>
      <c r="C99" s="28">
        <f t="shared" si="29"/>
        <v>801</v>
      </c>
      <c r="D99" s="29">
        <v>801</v>
      </c>
      <c r="E99" s="30"/>
      <c r="F99" s="30"/>
      <c r="G99" s="30"/>
      <c r="H99" s="29">
        <f t="shared" si="30"/>
        <v>0</v>
      </c>
      <c r="I99" s="30"/>
      <c r="J99" s="30"/>
      <c r="K99" s="30"/>
      <c r="L99" s="28">
        <f t="shared" si="28"/>
        <v>801</v>
      </c>
      <c r="M99" s="29">
        <v>801</v>
      </c>
      <c r="N99" s="30"/>
      <c r="O99" s="30"/>
      <c r="P99" s="30"/>
      <c r="Q99" s="29">
        <f t="shared" si="31"/>
        <v>0</v>
      </c>
      <c r="R99" s="30"/>
      <c r="S99" s="30"/>
      <c r="T99" s="26"/>
      <c r="U99" s="27"/>
      <c r="V99" s="25">
        <f t="shared" si="32"/>
        <v>1</v>
      </c>
      <c r="W99" s="27"/>
      <c r="X99" s="27"/>
      <c r="Y99" s="27"/>
      <c r="Z99" s="27"/>
    </row>
    <row r="100" spans="1:26" x14ac:dyDescent="0.25">
      <c r="A100" s="37">
        <v>30</v>
      </c>
      <c r="B100" s="19" t="s">
        <v>115</v>
      </c>
      <c r="C100" s="28">
        <f t="shared" si="29"/>
        <v>729</v>
      </c>
      <c r="D100" s="29">
        <v>729</v>
      </c>
      <c r="E100" s="30"/>
      <c r="F100" s="30"/>
      <c r="G100" s="30"/>
      <c r="H100" s="29">
        <f t="shared" si="30"/>
        <v>0</v>
      </c>
      <c r="I100" s="30"/>
      <c r="J100" s="30"/>
      <c r="K100" s="30"/>
      <c r="L100" s="28">
        <f t="shared" si="28"/>
        <v>729</v>
      </c>
      <c r="M100" s="29">
        <v>729</v>
      </c>
      <c r="N100" s="30"/>
      <c r="O100" s="30"/>
      <c r="P100" s="30"/>
      <c r="Q100" s="29">
        <f t="shared" si="31"/>
        <v>0</v>
      </c>
      <c r="R100" s="30"/>
      <c r="S100" s="30"/>
      <c r="T100" s="26"/>
      <c r="U100" s="27"/>
      <c r="V100" s="25">
        <f t="shared" si="32"/>
        <v>1</v>
      </c>
      <c r="W100" s="27"/>
      <c r="X100" s="27"/>
      <c r="Y100" s="27"/>
      <c r="Z100" s="27"/>
    </row>
    <row r="101" spans="1:26" x14ac:dyDescent="0.25">
      <c r="A101" s="37">
        <v>31</v>
      </c>
      <c r="B101" s="19" t="s">
        <v>116</v>
      </c>
      <c r="C101" s="28">
        <f t="shared" si="29"/>
        <v>89578</v>
      </c>
      <c r="D101" s="29">
        <v>19578</v>
      </c>
      <c r="E101" s="29">
        <v>70000</v>
      </c>
      <c r="F101" s="30"/>
      <c r="G101" s="30"/>
      <c r="H101" s="29">
        <f t="shared" si="30"/>
        <v>0</v>
      </c>
      <c r="I101" s="30"/>
      <c r="J101" s="30"/>
      <c r="K101" s="30"/>
      <c r="L101" s="28">
        <f t="shared" si="28"/>
        <v>90451</v>
      </c>
      <c r="M101" s="29">
        <v>19562</v>
      </c>
      <c r="N101" s="29">
        <v>70889</v>
      </c>
      <c r="O101" s="30"/>
      <c r="P101" s="30"/>
      <c r="Q101" s="29">
        <f t="shared" si="31"/>
        <v>0</v>
      </c>
      <c r="R101" s="30"/>
      <c r="S101" s="30"/>
      <c r="T101" s="26"/>
      <c r="U101" s="27"/>
      <c r="V101" s="25">
        <f t="shared" si="32"/>
        <v>0.99918275615486773</v>
      </c>
      <c r="W101" s="27"/>
      <c r="X101" s="27"/>
      <c r="Y101" s="27"/>
      <c r="Z101" s="27"/>
    </row>
    <row r="102" spans="1:26" x14ac:dyDescent="0.25">
      <c r="A102" s="37">
        <v>32</v>
      </c>
      <c r="B102" s="19" t="s">
        <v>117</v>
      </c>
      <c r="C102" s="28">
        <f t="shared" si="29"/>
        <v>1282</v>
      </c>
      <c r="D102" s="29">
        <v>1282</v>
      </c>
      <c r="E102" s="30"/>
      <c r="F102" s="30"/>
      <c r="G102" s="30"/>
      <c r="H102" s="29">
        <f t="shared" si="30"/>
        <v>0</v>
      </c>
      <c r="I102" s="30"/>
      <c r="J102" s="30"/>
      <c r="K102" s="30"/>
      <c r="L102" s="28">
        <f>SUM(M102:Q102)+T102</f>
        <v>1282</v>
      </c>
      <c r="M102" s="29">
        <v>1282</v>
      </c>
      <c r="N102" s="30"/>
      <c r="O102" s="30"/>
      <c r="P102" s="30"/>
      <c r="Q102" s="29">
        <f t="shared" si="31"/>
        <v>0</v>
      </c>
      <c r="R102" s="30"/>
      <c r="S102" s="30"/>
      <c r="T102" s="26"/>
      <c r="U102" s="27"/>
      <c r="V102" s="25">
        <f t="shared" si="32"/>
        <v>1</v>
      </c>
      <c r="W102" s="27"/>
      <c r="X102" s="27"/>
      <c r="Y102" s="27"/>
      <c r="Z102" s="27"/>
    </row>
    <row r="103" spans="1:26" x14ac:dyDescent="0.25">
      <c r="A103" s="37">
        <v>33</v>
      </c>
      <c r="B103" s="19" t="s">
        <v>118</v>
      </c>
      <c r="C103" s="28">
        <f t="shared" si="29"/>
        <v>26451.4</v>
      </c>
      <c r="D103" s="29">
        <f>11420+11468</f>
        <v>22888</v>
      </c>
      <c r="E103" s="30"/>
      <c r="F103" s="30"/>
      <c r="G103" s="30"/>
      <c r="H103" s="29">
        <f t="shared" si="30"/>
        <v>3563.4</v>
      </c>
      <c r="I103" s="29"/>
      <c r="J103" s="30">
        <v>3563.4</v>
      </c>
      <c r="K103" s="30"/>
      <c r="L103" s="28">
        <f>SUM(M103:Q103)+T103</f>
        <v>26435.9</v>
      </c>
      <c r="M103" s="29">
        <f>11420+11467</f>
        <v>22887</v>
      </c>
      <c r="N103" s="30"/>
      <c r="O103" s="30"/>
      <c r="P103" s="30"/>
      <c r="Q103" s="29">
        <f t="shared" si="31"/>
        <v>3548.9</v>
      </c>
      <c r="R103" s="29"/>
      <c r="S103" s="29">
        <v>3548.9</v>
      </c>
      <c r="T103" s="26"/>
      <c r="U103" s="27"/>
      <c r="V103" s="25">
        <f t="shared" si="32"/>
        <v>0.99995630898287313</v>
      </c>
      <c r="W103" s="27"/>
      <c r="X103" s="27"/>
      <c r="Y103" s="27"/>
      <c r="Z103" s="27"/>
    </row>
    <row r="104" spans="1:26" x14ac:dyDescent="0.25">
      <c r="A104" s="37">
        <v>34</v>
      </c>
      <c r="B104" s="19" t="s">
        <v>119</v>
      </c>
      <c r="C104" s="28">
        <f t="shared" si="29"/>
        <v>208</v>
      </c>
      <c r="D104" s="29">
        <v>208</v>
      </c>
      <c r="E104" s="30"/>
      <c r="F104" s="30"/>
      <c r="G104" s="30"/>
      <c r="H104" s="29">
        <f t="shared" si="30"/>
        <v>0</v>
      </c>
      <c r="I104" s="30"/>
      <c r="J104" s="30"/>
      <c r="K104" s="30"/>
      <c r="L104" s="28">
        <f t="shared" ref="L104:L135" si="33">SUM(M104:Q104)+T104</f>
        <v>208</v>
      </c>
      <c r="M104" s="29">
        <v>208</v>
      </c>
      <c r="N104" s="30"/>
      <c r="O104" s="30"/>
      <c r="P104" s="30"/>
      <c r="Q104" s="29">
        <f t="shared" si="31"/>
        <v>0</v>
      </c>
      <c r="R104" s="30"/>
      <c r="S104" s="30"/>
      <c r="T104" s="26"/>
      <c r="U104" s="27"/>
      <c r="V104" s="25">
        <f t="shared" si="32"/>
        <v>1</v>
      </c>
      <c r="W104" s="27"/>
      <c r="X104" s="27"/>
      <c r="Y104" s="27"/>
      <c r="Z104" s="27"/>
    </row>
    <row r="105" spans="1:26" x14ac:dyDescent="0.25">
      <c r="A105" s="37">
        <v>35</v>
      </c>
      <c r="B105" s="19" t="s">
        <v>120</v>
      </c>
      <c r="C105" s="28">
        <f t="shared" si="29"/>
        <v>54230</v>
      </c>
      <c r="D105" s="29">
        <f>2500+51730</f>
        <v>54230</v>
      </c>
      <c r="E105" s="30"/>
      <c r="F105" s="30"/>
      <c r="G105" s="30"/>
      <c r="H105" s="29">
        <f t="shared" si="30"/>
        <v>0</v>
      </c>
      <c r="I105" s="29"/>
      <c r="J105" s="30"/>
      <c r="K105" s="30"/>
      <c r="L105" s="28">
        <f t="shared" si="33"/>
        <v>4267</v>
      </c>
      <c r="M105" s="29">
        <f>1244+3023</f>
        <v>4267</v>
      </c>
      <c r="N105" s="30"/>
      <c r="O105" s="30"/>
      <c r="P105" s="30"/>
      <c r="Q105" s="29">
        <f t="shared" si="31"/>
        <v>0</v>
      </c>
      <c r="R105" s="29"/>
      <c r="S105" s="30"/>
      <c r="T105" s="26"/>
      <c r="U105" s="27"/>
      <c r="V105" s="25">
        <f t="shared" si="32"/>
        <v>7.8683385579937301E-2</v>
      </c>
      <c r="W105" s="27"/>
      <c r="X105" s="27"/>
      <c r="Y105" s="27"/>
      <c r="Z105" s="27"/>
    </row>
    <row r="106" spans="1:26" ht="39" x14ac:dyDescent="0.25">
      <c r="A106" s="37">
        <v>36</v>
      </c>
      <c r="B106" s="19" t="s">
        <v>121</v>
      </c>
      <c r="C106" s="28">
        <f t="shared" si="29"/>
        <v>68038</v>
      </c>
      <c r="D106" s="29">
        <f>44871+23167</f>
        <v>68038</v>
      </c>
      <c r="E106" s="30"/>
      <c r="F106" s="30"/>
      <c r="G106" s="30"/>
      <c r="H106" s="29">
        <f t="shared" si="30"/>
        <v>0</v>
      </c>
      <c r="I106" s="29"/>
      <c r="J106" s="30"/>
      <c r="K106" s="30"/>
      <c r="L106" s="28">
        <f t="shared" si="33"/>
        <v>43059</v>
      </c>
      <c r="M106" s="29">
        <f>19892+23167</f>
        <v>43059</v>
      </c>
      <c r="N106" s="30"/>
      <c r="O106" s="30"/>
      <c r="P106" s="30"/>
      <c r="Q106" s="29">
        <f t="shared" si="31"/>
        <v>0</v>
      </c>
      <c r="R106" s="29"/>
      <c r="S106" s="30"/>
      <c r="T106" s="26"/>
      <c r="U106" s="27"/>
      <c r="V106" s="25">
        <f t="shared" si="32"/>
        <v>0.63286692730532934</v>
      </c>
      <c r="W106" s="27"/>
      <c r="X106" s="27"/>
      <c r="Y106" s="27"/>
      <c r="Z106" s="27"/>
    </row>
    <row r="107" spans="1:26" ht="26.25" x14ac:dyDescent="0.25">
      <c r="A107" s="37">
        <v>37</v>
      </c>
      <c r="B107" s="19" t="s">
        <v>122</v>
      </c>
      <c r="C107" s="28">
        <f t="shared" si="29"/>
        <v>34037</v>
      </c>
      <c r="D107" s="29">
        <v>34037</v>
      </c>
      <c r="E107" s="30"/>
      <c r="F107" s="30"/>
      <c r="G107" s="30"/>
      <c r="H107" s="29">
        <f t="shared" si="30"/>
        <v>0</v>
      </c>
      <c r="I107" s="30"/>
      <c r="J107" s="30"/>
      <c r="K107" s="30"/>
      <c r="L107" s="28">
        <f t="shared" si="33"/>
        <v>20520</v>
      </c>
      <c r="M107" s="29">
        <v>20520</v>
      </c>
      <c r="N107" s="30"/>
      <c r="O107" s="30"/>
      <c r="P107" s="30"/>
      <c r="Q107" s="29">
        <f t="shared" si="31"/>
        <v>0</v>
      </c>
      <c r="R107" s="29"/>
      <c r="S107" s="30"/>
      <c r="T107" s="26"/>
      <c r="U107" s="27"/>
      <c r="V107" s="25">
        <f t="shared" si="32"/>
        <v>0.60287334371419343</v>
      </c>
      <c r="W107" s="27"/>
      <c r="X107" s="27"/>
      <c r="Y107" s="27"/>
      <c r="Z107" s="27"/>
    </row>
    <row r="108" spans="1:26" ht="26.25" x14ac:dyDescent="0.25">
      <c r="A108" s="37">
        <v>38</v>
      </c>
      <c r="B108" s="19" t="s">
        <v>123</v>
      </c>
      <c r="C108" s="28">
        <f t="shared" si="29"/>
        <v>609</v>
      </c>
      <c r="D108" s="29">
        <v>609</v>
      </c>
      <c r="E108" s="30"/>
      <c r="F108" s="30"/>
      <c r="G108" s="30"/>
      <c r="H108" s="29">
        <f t="shared" si="30"/>
        <v>0</v>
      </c>
      <c r="I108" s="30"/>
      <c r="J108" s="30"/>
      <c r="K108" s="30"/>
      <c r="L108" s="28">
        <f t="shared" si="33"/>
        <v>431</v>
      </c>
      <c r="M108" s="29">
        <v>431</v>
      </c>
      <c r="N108" s="30"/>
      <c r="O108" s="30"/>
      <c r="P108" s="30"/>
      <c r="Q108" s="29">
        <f t="shared" si="31"/>
        <v>0</v>
      </c>
      <c r="R108" s="29"/>
      <c r="S108" s="30"/>
      <c r="T108" s="26"/>
      <c r="U108" s="27"/>
      <c r="V108" s="25">
        <f t="shared" si="32"/>
        <v>0.70771756978653533</v>
      </c>
      <c r="W108" s="27"/>
      <c r="X108" s="27"/>
      <c r="Y108" s="27"/>
      <c r="Z108" s="27"/>
    </row>
    <row r="109" spans="1:26" ht="26.25" x14ac:dyDescent="0.25">
      <c r="A109" s="37">
        <v>39</v>
      </c>
      <c r="B109" s="19" t="s">
        <v>124</v>
      </c>
      <c r="C109" s="28">
        <f t="shared" si="29"/>
        <v>2187</v>
      </c>
      <c r="D109" s="29">
        <v>2187</v>
      </c>
      <c r="E109" s="30"/>
      <c r="F109" s="30"/>
      <c r="G109" s="30"/>
      <c r="H109" s="29">
        <f t="shared" si="30"/>
        <v>0</v>
      </c>
      <c r="I109" s="30"/>
      <c r="J109" s="30"/>
      <c r="K109" s="30"/>
      <c r="L109" s="28">
        <f t="shared" si="33"/>
        <v>2187</v>
      </c>
      <c r="M109" s="29">
        <v>2187</v>
      </c>
      <c r="N109" s="30"/>
      <c r="O109" s="30"/>
      <c r="P109" s="30"/>
      <c r="Q109" s="29">
        <f t="shared" si="31"/>
        <v>0</v>
      </c>
      <c r="R109" s="29"/>
      <c r="S109" s="30"/>
      <c r="T109" s="26"/>
      <c r="U109" s="27"/>
      <c r="V109" s="25">
        <f t="shared" si="32"/>
        <v>1</v>
      </c>
      <c r="W109" s="27"/>
      <c r="X109" s="27"/>
      <c r="Y109" s="27"/>
      <c r="Z109" s="27"/>
    </row>
    <row r="110" spans="1:26" x14ac:dyDescent="0.25">
      <c r="A110" s="37">
        <v>40</v>
      </c>
      <c r="B110" s="19" t="s">
        <v>125</v>
      </c>
      <c r="C110" s="28">
        <f t="shared" si="29"/>
        <v>151</v>
      </c>
      <c r="D110" s="29">
        <v>151</v>
      </c>
      <c r="E110" s="30"/>
      <c r="F110" s="30"/>
      <c r="G110" s="30"/>
      <c r="H110" s="29">
        <f t="shared" si="30"/>
        <v>0</v>
      </c>
      <c r="I110" s="30"/>
      <c r="J110" s="30"/>
      <c r="K110" s="30"/>
      <c r="L110" s="28">
        <f t="shared" si="33"/>
        <v>151</v>
      </c>
      <c r="M110" s="29">
        <v>151</v>
      </c>
      <c r="N110" s="30"/>
      <c r="O110" s="30"/>
      <c r="P110" s="30"/>
      <c r="Q110" s="29">
        <f t="shared" si="31"/>
        <v>0</v>
      </c>
      <c r="R110" s="29"/>
      <c r="S110" s="30"/>
      <c r="T110" s="26"/>
      <c r="U110" s="27"/>
      <c r="V110" s="25">
        <f t="shared" si="32"/>
        <v>1</v>
      </c>
      <c r="W110" s="27"/>
      <c r="X110" s="27"/>
      <c r="Y110" s="27"/>
      <c r="Z110" s="27"/>
    </row>
    <row r="111" spans="1:26" x14ac:dyDescent="0.25">
      <c r="A111" s="37">
        <v>41</v>
      </c>
      <c r="B111" s="19" t="s">
        <v>126</v>
      </c>
      <c r="C111" s="28">
        <f t="shared" si="29"/>
        <v>500</v>
      </c>
      <c r="D111" s="29">
        <v>500</v>
      </c>
      <c r="E111" s="30"/>
      <c r="F111" s="30"/>
      <c r="G111" s="30"/>
      <c r="H111" s="29">
        <f t="shared" si="30"/>
        <v>0</v>
      </c>
      <c r="I111" s="30"/>
      <c r="J111" s="30"/>
      <c r="K111" s="30"/>
      <c r="L111" s="28">
        <f t="shared" si="33"/>
        <v>500</v>
      </c>
      <c r="M111" s="29">
        <v>500</v>
      </c>
      <c r="N111" s="30"/>
      <c r="O111" s="30"/>
      <c r="P111" s="30"/>
      <c r="Q111" s="29">
        <f t="shared" si="31"/>
        <v>0</v>
      </c>
      <c r="R111" s="29"/>
      <c r="S111" s="30"/>
      <c r="T111" s="26"/>
      <c r="U111" s="27"/>
      <c r="V111" s="25">
        <f t="shared" si="32"/>
        <v>1</v>
      </c>
      <c r="W111" s="27"/>
      <c r="X111" s="27"/>
      <c r="Y111" s="27"/>
      <c r="Z111" s="27"/>
    </row>
    <row r="112" spans="1:26" x14ac:dyDescent="0.25">
      <c r="A112" s="37">
        <v>42</v>
      </c>
      <c r="B112" s="19" t="s">
        <v>127</v>
      </c>
      <c r="C112" s="28">
        <f t="shared" si="29"/>
        <v>3588</v>
      </c>
      <c r="D112" s="29">
        <v>3588</v>
      </c>
      <c r="E112" s="30"/>
      <c r="F112" s="30"/>
      <c r="G112" s="30"/>
      <c r="H112" s="29">
        <f t="shared" si="30"/>
        <v>0</v>
      </c>
      <c r="I112" s="30"/>
      <c r="J112" s="30"/>
      <c r="K112" s="30"/>
      <c r="L112" s="28">
        <f t="shared" si="33"/>
        <v>3303</v>
      </c>
      <c r="M112" s="29">
        <v>3303</v>
      </c>
      <c r="N112" s="30"/>
      <c r="O112" s="30"/>
      <c r="P112" s="30"/>
      <c r="Q112" s="29">
        <f t="shared" si="31"/>
        <v>0</v>
      </c>
      <c r="R112" s="29"/>
      <c r="S112" s="30"/>
      <c r="T112" s="26"/>
      <c r="U112" s="27"/>
      <c r="V112" s="25">
        <f t="shared" si="32"/>
        <v>0.9205685618729097</v>
      </c>
      <c r="W112" s="27"/>
      <c r="X112" s="27"/>
      <c r="Y112" s="27"/>
      <c r="Z112" s="27"/>
    </row>
    <row r="113" spans="1:26" ht="16.5" customHeight="1" x14ac:dyDescent="0.25">
      <c r="A113" s="37">
        <v>43</v>
      </c>
      <c r="B113" s="19" t="s">
        <v>128</v>
      </c>
      <c r="C113" s="28">
        <f t="shared" si="29"/>
        <v>113</v>
      </c>
      <c r="D113" s="29">
        <v>113</v>
      </c>
      <c r="E113" s="30"/>
      <c r="F113" s="30"/>
      <c r="G113" s="30"/>
      <c r="H113" s="29">
        <f t="shared" si="30"/>
        <v>0</v>
      </c>
      <c r="I113" s="30"/>
      <c r="J113" s="30"/>
      <c r="K113" s="30"/>
      <c r="L113" s="28">
        <f t="shared" si="33"/>
        <v>113</v>
      </c>
      <c r="M113" s="29">
        <v>113</v>
      </c>
      <c r="N113" s="30"/>
      <c r="O113" s="30"/>
      <c r="P113" s="30"/>
      <c r="Q113" s="29">
        <f t="shared" si="31"/>
        <v>0</v>
      </c>
      <c r="R113" s="29"/>
      <c r="S113" s="30"/>
      <c r="T113" s="26"/>
      <c r="U113" s="27"/>
      <c r="V113" s="25">
        <f t="shared" si="32"/>
        <v>1</v>
      </c>
      <c r="W113" s="27"/>
      <c r="X113" s="27"/>
      <c r="Y113" s="27"/>
      <c r="Z113" s="27"/>
    </row>
    <row r="114" spans="1:26" ht="26.25" x14ac:dyDescent="0.25">
      <c r="A114" s="37">
        <v>44</v>
      </c>
      <c r="B114" s="19" t="s">
        <v>129</v>
      </c>
      <c r="C114" s="28">
        <f t="shared" si="29"/>
        <v>519</v>
      </c>
      <c r="D114" s="29">
        <v>519</v>
      </c>
      <c r="E114" s="30"/>
      <c r="F114" s="30"/>
      <c r="G114" s="30"/>
      <c r="H114" s="29">
        <f t="shared" si="30"/>
        <v>0</v>
      </c>
      <c r="I114" s="30"/>
      <c r="J114" s="30"/>
      <c r="K114" s="30"/>
      <c r="L114" s="28">
        <f t="shared" si="33"/>
        <v>519</v>
      </c>
      <c r="M114" s="29">
        <v>519</v>
      </c>
      <c r="N114" s="30"/>
      <c r="O114" s="30"/>
      <c r="P114" s="30"/>
      <c r="Q114" s="29">
        <f t="shared" si="31"/>
        <v>0</v>
      </c>
      <c r="R114" s="29"/>
      <c r="S114" s="30"/>
      <c r="T114" s="26"/>
      <c r="U114" s="27"/>
      <c r="V114" s="25">
        <f t="shared" si="32"/>
        <v>1</v>
      </c>
      <c r="W114" s="27"/>
      <c r="X114" s="27"/>
      <c r="Y114" s="27"/>
      <c r="Z114" s="27"/>
    </row>
    <row r="115" spans="1:26" ht="26.25" x14ac:dyDescent="0.25">
      <c r="A115" s="37">
        <v>45</v>
      </c>
      <c r="B115" s="19" t="s">
        <v>130</v>
      </c>
      <c r="C115" s="28">
        <f t="shared" si="29"/>
        <v>1053</v>
      </c>
      <c r="D115" s="29">
        <v>1053</v>
      </c>
      <c r="E115" s="30"/>
      <c r="F115" s="30"/>
      <c r="G115" s="30"/>
      <c r="H115" s="29">
        <f t="shared" si="30"/>
        <v>0</v>
      </c>
      <c r="I115" s="30"/>
      <c r="J115" s="30"/>
      <c r="K115" s="30"/>
      <c r="L115" s="28">
        <f t="shared" si="33"/>
        <v>1053</v>
      </c>
      <c r="M115" s="29">
        <v>1053</v>
      </c>
      <c r="N115" s="30"/>
      <c r="O115" s="30"/>
      <c r="P115" s="30"/>
      <c r="Q115" s="29">
        <f t="shared" si="31"/>
        <v>0</v>
      </c>
      <c r="R115" s="29"/>
      <c r="S115" s="30"/>
      <c r="T115" s="26"/>
      <c r="U115" s="27"/>
      <c r="V115" s="25">
        <f t="shared" si="32"/>
        <v>1</v>
      </c>
      <c r="W115" s="27"/>
      <c r="X115" s="27"/>
      <c r="Y115" s="27"/>
      <c r="Z115" s="27"/>
    </row>
    <row r="116" spans="1:26" x14ac:dyDescent="0.25">
      <c r="A116" s="37">
        <v>46</v>
      </c>
      <c r="B116" s="19" t="s">
        <v>131</v>
      </c>
      <c r="C116" s="28">
        <f t="shared" si="29"/>
        <v>2313</v>
      </c>
      <c r="D116" s="29">
        <v>2313</v>
      </c>
      <c r="E116" s="30"/>
      <c r="F116" s="30"/>
      <c r="G116" s="30"/>
      <c r="H116" s="29">
        <f t="shared" si="30"/>
        <v>0</v>
      </c>
      <c r="I116" s="30"/>
      <c r="J116" s="30"/>
      <c r="K116" s="30"/>
      <c r="L116" s="28">
        <f t="shared" si="33"/>
        <v>2083</v>
      </c>
      <c r="M116" s="29">
        <v>2083</v>
      </c>
      <c r="N116" s="30"/>
      <c r="O116" s="30"/>
      <c r="P116" s="30"/>
      <c r="Q116" s="29">
        <f t="shared" si="31"/>
        <v>0</v>
      </c>
      <c r="R116" s="29"/>
      <c r="S116" s="30"/>
      <c r="T116" s="26"/>
      <c r="U116" s="27"/>
      <c r="V116" s="25">
        <f t="shared" si="32"/>
        <v>0.90056204063986167</v>
      </c>
      <c r="W116" s="27"/>
      <c r="X116" s="27"/>
      <c r="Y116" s="27"/>
      <c r="Z116" s="27"/>
    </row>
    <row r="117" spans="1:26" ht="26.25" x14ac:dyDescent="0.25">
      <c r="A117" s="37">
        <v>47</v>
      </c>
      <c r="B117" s="19" t="s">
        <v>132</v>
      </c>
      <c r="C117" s="28">
        <f t="shared" si="29"/>
        <v>1304</v>
      </c>
      <c r="D117" s="29">
        <v>1304</v>
      </c>
      <c r="E117" s="30"/>
      <c r="F117" s="30"/>
      <c r="G117" s="30"/>
      <c r="H117" s="29">
        <f t="shared" si="30"/>
        <v>0</v>
      </c>
      <c r="I117" s="30"/>
      <c r="J117" s="30"/>
      <c r="K117" s="30"/>
      <c r="L117" s="28">
        <f t="shared" si="33"/>
        <v>1304</v>
      </c>
      <c r="M117" s="29">
        <v>1304</v>
      </c>
      <c r="N117" s="30"/>
      <c r="O117" s="30"/>
      <c r="P117" s="30"/>
      <c r="Q117" s="29">
        <f t="shared" si="31"/>
        <v>0</v>
      </c>
      <c r="R117" s="29"/>
      <c r="S117" s="30"/>
      <c r="T117" s="26"/>
      <c r="U117" s="27"/>
      <c r="V117" s="25">
        <f t="shared" si="32"/>
        <v>1</v>
      </c>
      <c r="W117" s="27"/>
      <c r="X117" s="27"/>
      <c r="Y117" s="27"/>
      <c r="Z117" s="27"/>
    </row>
    <row r="118" spans="1:26" x14ac:dyDescent="0.25">
      <c r="A118" s="37">
        <v>48</v>
      </c>
      <c r="B118" s="19" t="s">
        <v>133</v>
      </c>
      <c r="C118" s="28">
        <f t="shared" si="29"/>
        <v>30031</v>
      </c>
      <c r="D118" s="29">
        <v>23831</v>
      </c>
      <c r="E118" s="30"/>
      <c r="F118" s="30"/>
      <c r="G118" s="30"/>
      <c r="H118" s="29">
        <f t="shared" si="30"/>
        <v>6200</v>
      </c>
      <c r="I118" s="29">
        <v>6200</v>
      </c>
      <c r="J118" s="30"/>
      <c r="K118" s="30"/>
      <c r="L118" s="28">
        <f>SUM(M118:Q118)+T118</f>
        <v>30029</v>
      </c>
      <c r="M118" s="29">
        <v>23829</v>
      </c>
      <c r="N118" s="30"/>
      <c r="O118" s="30"/>
      <c r="P118" s="30"/>
      <c r="Q118" s="29">
        <f t="shared" si="31"/>
        <v>6200</v>
      </c>
      <c r="R118" s="29">
        <v>6200</v>
      </c>
      <c r="S118" s="30"/>
      <c r="T118" s="26"/>
      <c r="U118" s="27"/>
      <c r="V118" s="25">
        <f t="shared" si="32"/>
        <v>0.99991607569971885</v>
      </c>
      <c r="W118" s="27"/>
      <c r="X118" s="27"/>
      <c r="Y118" s="27"/>
      <c r="Z118" s="27"/>
    </row>
    <row r="119" spans="1:26" ht="26.25" x14ac:dyDescent="0.25">
      <c r="A119" s="37">
        <v>49</v>
      </c>
      <c r="B119" s="19" t="s">
        <v>134</v>
      </c>
      <c r="C119" s="28">
        <f t="shared" si="29"/>
        <v>333</v>
      </c>
      <c r="D119" s="29">
        <v>333</v>
      </c>
      <c r="E119" s="30"/>
      <c r="F119" s="30"/>
      <c r="G119" s="30"/>
      <c r="H119" s="29">
        <f t="shared" si="30"/>
        <v>0</v>
      </c>
      <c r="I119" s="30"/>
      <c r="J119" s="30"/>
      <c r="K119" s="30"/>
      <c r="L119" s="28">
        <f t="shared" si="33"/>
        <v>333</v>
      </c>
      <c r="M119" s="29">
        <v>333</v>
      </c>
      <c r="N119" s="30"/>
      <c r="O119" s="30"/>
      <c r="P119" s="30"/>
      <c r="Q119" s="29">
        <f t="shared" si="31"/>
        <v>0</v>
      </c>
      <c r="R119" s="29"/>
      <c r="S119" s="30"/>
      <c r="T119" s="26"/>
      <c r="U119" s="27"/>
      <c r="V119" s="25">
        <f t="shared" si="32"/>
        <v>1</v>
      </c>
      <c r="W119" s="27"/>
      <c r="X119" s="27"/>
      <c r="Y119" s="27"/>
      <c r="Z119" s="27"/>
    </row>
    <row r="120" spans="1:26" ht="26.25" x14ac:dyDescent="0.25">
      <c r="A120" s="37">
        <v>50</v>
      </c>
      <c r="B120" s="19" t="s">
        <v>135</v>
      </c>
      <c r="C120" s="28">
        <f t="shared" si="29"/>
        <v>5619</v>
      </c>
      <c r="D120" s="29">
        <v>5619</v>
      </c>
      <c r="E120" s="30"/>
      <c r="F120" s="30"/>
      <c r="G120" s="30"/>
      <c r="H120" s="29">
        <f t="shared" si="30"/>
        <v>0</v>
      </c>
      <c r="I120" s="30"/>
      <c r="J120" s="30"/>
      <c r="K120" s="30"/>
      <c r="L120" s="28">
        <f t="shared" si="33"/>
        <v>5354</v>
      </c>
      <c r="M120" s="29">
        <v>5354</v>
      </c>
      <c r="N120" s="30"/>
      <c r="O120" s="30"/>
      <c r="P120" s="30"/>
      <c r="Q120" s="29">
        <f t="shared" si="31"/>
        <v>0</v>
      </c>
      <c r="R120" s="29"/>
      <c r="S120" s="30"/>
      <c r="T120" s="26"/>
      <c r="U120" s="27"/>
      <c r="V120" s="25">
        <f t="shared" si="32"/>
        <v>0.95283858337782523</v>
      </c>
      <c r="W120" s="27"/>
      <c r="X120" s="27"/>
      <c r="Y120" s="27"/>
      <c r="Z120" s="27"/>
    </row>
    <row r="121" spans="1:26" ht="26.25" x14ac:dyDescent="0.25">
      <c r="A121" s="37">
        <v>51</v>
      </c>
      <c r="B121" s="19" t="s">
        <v>136</v>
      </c>
      <c r="C121" s="28">
        <f t="shared" si="29"/>
        <v>386</v>
      </c>
      <c r="D121" s="29">
        <v>386</v>
      </c>
      <c r="E121" s="30"/>
      <c r="F121" s="30"/>
      <c r="G121" s="30"/>
      <c r="H121" s="29">
        <f t="shared" si="30"/>
        <v>0</v>
      </c>
      <c r="I121" s="30"/>
      <c r="J121" s="30"/>
      <c r="K121" s="30"/>
      <c r="L121" s="28">
        <f t="shared" si="33"/>
        <v>283</v>
      </c>
      <c r="M121" s="29">
        <v>283</v>
      </c>
      <c r="N121" s="30"/>
      <c r="O121" s="30"/>
      <c r="P121" s="30"/>
      <c r="Q121" s="29">
        <f t="shared" si="31"/>
        <v>0</v>
      </c>
      <c r="R121" s="29"/>
      <c r="S121" s="30"/>
      <c r="T121" s="26"/>
      <c r="U121" s="27"/>
      <c r="V121" s="25">
        <f t="shared" si="32"/>
        <v>0.73316062176165808</v>
      </c>
      <c r="W121" s="27"/>
      <c r="X121" s="27"/>
      <c r="Y121" s="27"/>
      <c r="Z121" s="27"/>
    </row>
    <row r="122" spans="1:26" ht="26.25" x14ac:dyDescent="0.25">
      <c r="A122" s="37">
        <v>52</v>
      </c>
      <c r="B122" s="19" t="s">
        <v>147</v>
      </c>
      <c r="C122" s="28">
        <f t="shared" si="29"/>
        <v>435</v>
      </c>
      <c r="D122" s="29">
        <v>435</v>
      </c>
      <c r="E122" s="30"/>
      <c r="F122" s="30"/>
      <c r="G122" s="30"/>
      <c r="H122" s="29">
        <f t="shared" si="30"/>
        <v>0</v>
      </c>
      <c r="I122" s="29"/>
      <c r="J122" s="30"/>
      <c r="K122" s="30"/>
      <c r="L122" s="28">
        <f t="shared" si="33"/>
        <v>409</v>
      </c>
      <c r="M122" s="29">
        <v>409</v>
      </c>
      <c r="N122" s="30"/>
      <c r="O122" s="30"/>
      <c r="P122" s="30"/>
      <c r="Q122" s="29">
        <f t="shared" si="31"/>
        <v>0</v>
      </c>
      <c r="R122" s="29"/>
      <c r="S122" s="30"/>
      <c r="T122" s="26"/>
      <c r="U122" s="27"/>
      <c r="V122" s="25"/>
      <c r="W122" s="27"/>
      <c r="X122" s="27"/>
      <c r="Y122" s="27"/>
      <c r="Z122" s="27"/>
    </row>
    <row r="123" spans="1:26" x14ac:dyDescent="0.25">
      <c r="A123" s="37">
        <v>53</v>
      </c>
      <c r="B123" s="19" t="s">
        <v>148</v>
      </c>
      <c r="C123" s="28">
        <f>SUM(D123:H123)+K123</f>
        <v>6000</v>
      </c>
      <c r="D123" s="29">
        <v>6000</v>
      </c>
      <c r="E123" s="30"/>
      <c r="F123" s="30"/>
      <c r="G123" s="30"/>
      <c r="H123" s="29">
        <f t="shared" si="30"/>
        <v>0</v>
      </c>
      <c r="I123" s="29"/>
      <c r="J123" s="30"/>
      <c r="K123" s="30"/>
      <c r="L123" s="28">
        <f t="shared" si="33"/>
        <v>5407</v>
      </c>
      <c r="M123" s="29">
        <v>5407</v>
      </c>
      <c r="N123" s="30"/>
      <c r="O123" s="30"/>
      <c r="P123" s="30"/>
      <c r="Q123" s="29">
        <f t="shared" si="31"/>
        <v>0</v>
      </c>
      <c r="R123" s="29"/>
      <c r="S123" s="30"/>
      <c r="T123" s="26"/>
      <c r="U123" s="27"/>
      <c r="V123" s="25"/>
      <c r="W123" s="27"/>
      <c r="X123" s="27"/>
      <c r="Y123" s="27"/>
      <c r="Z123" s="27"/>
    </row>
    <row r="124" spans="1:26" x14ac:dyDescent="0.25">
      <c r="A124" s="37">
        <v>54</v>
      </c>
      <c r="B124" s="19" t="s">
        <v>149</v>
      </c>
      <c r="C124" s="28">
        <f t="shared" si="29"/>
        <v>30352</v>
      </c>
      <c r="D124" s="29">
        <v>30352</v>
      </c>
      <c r="E124" s="30"/>
      <c r="F124" s="30"/>
      <c r="G124" s="30"/>
      <c r="H124" s="29">
        <f t="shared" si="30"/>
        <v>0</v>
      </c>
      <c r="I124" s="29"/>
      <c r="J124" s="30"/>
      <c r="K124" s="30"/>
      <c r="L124" s="28">
        <f t="shared" si="33"/>
        <v>26886</v>
      </c>
      <c r="M124" s="29">
        <v>26886</v>
      </c>
      <c r="N124" s="30"/>
      <c r="O124" s="30"/>
      <c r="P124" s="30"/>
      <c r="Q124" s="29">
        <f t="shared" si="31"/>
        <v>0</v>
      </c>
      <c r="R124" s="29"/>
      <c r="S124" s="30"/>
      <c r="T124" s="26"/>
      <c r="U124" s="27"/>
      <c r="V124" s="25"/>
      <c r="W124" s="27"/>
      <c r="X124" s="27"/>
      <c r="Y124" s="27"/>
      <c r="Z124" s="27"/>
    </row>
    <row r="125" spans="1:26" ht="26.25" x14ac:dyDescent="0.25">
      <c r="A125" s="37">
        <v>55</v>
      </c>
      <c r="B125" s="19" t="s">
        <v>150</v>
      </c>
      <c r="C125" s="28">
        <f t="shared" si="29"/>
        <v>9053</v>
      </c>
      <c r="D125" s="29">
        <v>9053</v>
      </c>
      <c r="E125" s="30"/>
      <c r="F125" s="30"/>
      <c r="G125" s="30"/>
      <c r="H125" s="29">
        <f t="shared" si="30"/>
        <v>0</v>
      </c>
      <c r="I125" s="29"/>
      <c r="J125" s="30"/>
      <c r="K125" s="30"/>
      <c r="L125" s="28">
        <f t="shared" si="33"/>
        <v>9053</v>
      </c>
      <c r="M125" s="29">
        <v>9053</v>
      </c>
      <c r="N125" s="30"/>
      <c r="O125" s="30"/>
      <c r="P125" s="30"/>
      <c r="Q125" s="29">
        <f t="shared" si="31"/>
        <v>0</v>
      </c>
      <c r="R125" s="29"/>
      <c r="S125" s="30"/>
      <c r="T125" s="26"/>
      <c r="U125" s="27"/>
      <c r="V125" s="25"/>
      <c r="W125" s="27"/>
      <c r="X125" s="27"/>
      <c r="Y125" s="27"/>
      <c r="Z125" s="27"/>
    </row>
    <row r="126" spans="1:26" s="1" customFormat="1" ht="18.75" customHeight="1" x14ac:dyDescent="0.25">
      <c r="A126" s="37">
        <v>56</v>
      </c>
      <c r="B126" s="19" t="s">
        <v>152</v>
      </c>
      <c r="C126" s="28">
        <f>SUM(C127:C135)</f>
        <v>9070</v>
      </c>
      <c r="D126" s="29">
        <f t="shared" ref="D126:S126" si="34">SUM(D127:D135)</f>
        <v>0</v>
      </c>
      <c r="E126" s="29">
        <f t="shared" si="34"/>
        <v>0</v>
      </c>
      <c r="F126" s="29">
        <f t="shared" si="34"/>
        <v>0</v>
      </c>
      <c r="G126" s="29">
        <f t="shared" si="34"/>
        <v>0</v>
      </c>
      <c r="H126" s="29">
        <f t="shared" si="34"/>
        <v>9070</v>
      </c>
      <c r="I126" s="29">
        <f t="shared" si="34"/>
        <v>9070</v>
      </c>
      <c r="J126" s="29">
        <f t="shared" si="34"/>
        <v>0</v>
      </c>
      <c r="K126" s="29">
        <f t="shared" si="34"/>
        <v>0</v>
      </c>
      <c r="L126" s="29">
        <f t="shared" si="34"/>
        <v>14416</v>
      </c>
      <c r="M126" s="29">
        <f t="shared" si="34"/>
        <v>0</v>
      </c>
      <c r="N126" s="29">
        <f t="shared" si="34"/>
        <v>0</v>
      </c>
      <c r="O126" s="29">
        <f t="shared" si="34"/>
        <v>0</v>
      </c>
      <c r="P126" s="29">
        <f t="shared" si="34"/>
        <v>0</v>
      </c>
      <c r="Q126" s="29">
        <f t="shared" si="34"/>
        <v>14416</v>
      </c>
      <c r="R126" s="29">
        <f t="shared" si="34"/>
        <v>14416</v>
      </c>
      <c r="S126" s="29">
        <f t="shared" si="34"/>
        <v>0</v>
      </c>
      <c r="T126" s="26"/>
      <c r="U126" s="26"/>
      <c r="V126" s="25"/>
      <c r="W126" s="26"/>
      <c r="X126" s="26"/>
      <c r="Y126" s="26"/>
      <c r="Z126" s="26"/>
    </row>
    <row r="127" spans="1:26" hidden="1" x14ac:dyDescent="0.25">
      <c r="A127" s="37">
        <v>1</v>
      </c>
      <c r="B127" s="19" t="s">
        <v>137</v>
      </c>
      <c r="C127" s="28">
        <f t="shared" si="29"/>
        <v>702</v>
      </c>
      <c r="D127" s="29"/>
      <c r="E127" s="30"/>
      <c r="F127" s="30"/>
      <c r="G127" s="30"/>
      <c r="H127" s="29">
        <f t="shared" si="30"/>
        <v>702</v>
      </c>
      <c r="I127" s="29">
        <v>702</v>
      </c>
      <c r="J127" s="30"/>
      <c r="K127" s="30"/>
      <c r="L127" s="28">
        <f t="shared" si="33"/>
        <v>1477</v>
      </c>
      <c r="M127" s="29"/>
      <c r="N127" s="30"/>
      <c r="O127" s="30"/>
      <c r="P127" s="30"/>
      <c r="Q127" s="29">
        <f t="shared" si="31"/>
        <v>1477</v>
      </c>
      <c r="R127" s="29">
        <v>1477</v>
      </c>
      <c r="S127" s="30"/>
      <c r="T127" s="26"/>
      <c r="U127" s="27"/>
      <c r="V127" s="25" t="e">
        <f t="shared" si="32"/>
        <v>#DIV/0!</v>
      </c>
      <c r="W127" s="27"/>
      <c r="X127" s="27"/>
      <c r="Y127" s="27"/>
      <c r="Z127" s="27"/>
    </row>
    <row r="128" spans="1:26" ht="7.5" hidden="1" customHeight="1" x14ac:dyDescent="0.25">
      <c r="A128" s="37">
        <v>2</v>
      </c>
      <c r="B128" s="19" t="s">
        <v>138</v>
      </c>
      <c r="C128" s="28">
        <f t="shared" si="29"/>
        <v>3901</v>
      </c>
      <c r="D128" s="29"/>
      <c r="E128" s="30"/>
      <c r="F128" s="30"/>
      <c r="G128" s="30"/>
      <c r="H128" s="29">
        <f t="shared" si="30"/>
        <v>3901</v>
      </c>
      <c r="I128" s="29">
        <v>3901</v>
      </c>
      <c r="J128" s="30"/>
      <c r="K128" s="30"/>
      <c r="L128" s="28">
        <f t="shared" si="33"/>
        <v>4687</v>
      </c>
      <c r="M128" s="29"/>
      <c r="N128" s="30"/>
      <c r="O128" s="30"/>
      <c r="P128" s="30"/>
      <c r="Q128" s="29">
        <f t="shared" si="31"/>
        <v>4687</v>
      </c>
      <c r="R128" s="29">
        <v>4687</v>
      </c>
      <c r="S128" s="30"/>
      <c r="T128" s="26"/>
      <c r="U128" s="27"/>
      <c r="V128" s="25" t="e">
        <f t="shared" si="32"/>
        <v>#DIV/0!</v>
      </c>
      <c r="W128" s="27"/>
      <c r="X128" s="27"/>
      <c r="Y128" s="27"/>
      <c r="Z128" s="27"/>
    </row>
    <row r="129" spans="1:26" hidden="1" x14ac:dyDescent="0.25">
      <c r="A129" s="37">
        <v>3</v>
      </c>
      <c r="B129" s="19" t="s">
        <v>139</v>
      </c>
      <c r="C129" s="28">
        <f t="shared" si="29"/>
        <v>0</v>
      </c>
      <c r="D129" s="29"/>
      <c r="E129" s="30"/>
      <c r="F129" s="30"/>
      <c r="G129" s="30"/>
      <c r="H129" s="29">
        <f t="shared" si="30"/>
        <v>0</v>
      </c>
      <c r="I129" s="30"/>
      <c r="J129" s="30"/>
      <c r="K129" s="30"/>
      <c r="L129" s="28">
        <f t="shared" si="33"/>
        <v>0</v>
      </c>
      <c r="M129" s="29"/>
      <c r="N129" s="30"/>
      <c r="O129" s="30"/>
      <c r="P129" s="30"/>
      <c r="Q129" s="29">
        <f t="shared" si="31"/>
        <v>0</v>
      </c>
      <c r="R129" s="29"/>
      <c r="S129" s="30"/>
      <c r="T129" s="26"/>
      <c r="U129" s="27"/>
      <c r="V129" s="25" t="e">
        <f t="shared" si="32"/>
        <v>#DIV/0!</v>
      </c>
      <c r="W129" s="27"/>
      <c r="X129" s="27"/>
      <c r="Y129" s="27"/>
      <c r="Z129" s="27"/>
    </row>
    <row r="130" spans="1:26" hidden="1" x14ac:dyDescent="0.25">
      <c r="A130" s="37">
        <v>4</v>
      </c>
      <c r="B130" s="19" t="s">
        <v>140</v>
      </c>
      <c r="C130" s="28">
        <f t="shared" si="29"/>
        <v>0</v>
      </c>
      <c r="D130" s="29"/>
      <c r="E130" s="30"/>
      <c r="F130" s="30"/>
      <c r="G130" s="30"/>
      <c r="H130" s="29">
        <f t="shared" si="30"/>
        <v>0</v>
      </c>
      <c r="I130" s="30"/>
      <c r="J130" s="30"/>
      <c r="K130" s="30"/>
      <c r="L130" s="28">
        <f t="shared" si="33"/>
        <v>0</v>
      </c>
      <c r="M130" s="29"/>
      <c r="N130" s="30"/>
      <c r="O130" s="30"/>
      <c r="P130" s="30"/>
      <c r="Q130" s="29">
        <f t="shared" si="31"/>
        <v>0</v>
      </c>
      <c r="R130" s="29"/>
      <c r="S130" s="30"/>
      <c r="T130" s="26"/>
      <c r="U130" s="27"/>
      <c r="V130" s="25" t="e">
        <f t="shared" si="32"/>
        <v>#DIV/0!</v>
      </c>
      <c r="W130" s="27"/>
      <c r="X130" s="27"/>
      <c r="Y130" s="27"/>
      <c r="Z130" s="27"/>
    </row>
    <row r="131" spans="1:26" ht="10.5" hidden="1" customHeight="1" x14ac:dyDescent="0.25">
      <c r="A131" s="37">
        <v>5</v>
      </c>
      <c r="B131" s="19" t="s">
        <v>141</v>
      </c>
      <c r="C131" s="28">
        <f t="shared" si="29"/>
        <v>0</v>
      </c>
      <c r="D131" s="29"/>
      <c r="E131" s="30"/>
      <c r="F131" s="30"/>
      <c r="G131" s="30"/>
      <c r="H131" s="29">
        <f t="shared" si="30"/>
        <v>0</v>
      </c>
      <c r="I131" s="30"/>
      <c r="J131" s="30"/>
      <c r="K131" s="30"/>
      <c r="L131" s="28">
        <f t="shared" si="33"/>
        <v>0</v>
      </c>
      <c r="M131" s="29"/>
      <c r="N131" s="30"/>
      <c r="O131" s="30"/>
      <c r="P131" s="30"/>
      <c r="Q131" s="29">
        <f t="shared" si="31"/>
        <v>0</v>
      </c>
      <c r="R131" s="29"/>
      <c r="S131" s="30"/>
      <c r="T131" s="26"/>
      <c r="U131" s="27"/>
      <c r="V131" s="25" t="e">
        <f t="shared" si="32"/>
        <v>#DIV/0!</v>
      </c>
      <c r="W131" s="27"/>
      <c r="X131" s="27"/>
      <c r="Y131" s="27"/>
      <c r="Z131" s="27"/>
    </row>
    <row r="132" spans="1:26" hidden="1" x14ac:dyDescent="0.25">
      <c r="A132" s="37">
        <v>6</v>
      </c>
      <c r="B132" s="19" t="s">
        <v>142</v>
      </c>
      <c r="C132" s="28">
        <f t="shared" si="29"/>
        <v>4403</v>
      </c>
      <c r="D132" s="29"/>
      <c r="E132" s="30"/>
      <c r="F132" s="30"/>
      <c r="G132" s="30"/>
      <c r="H132" s="29">
        <f t="shared" si="30"/>
        <v>4403</v>
      </c>
      <c r="I132" s="29">
        <v>4403</v>
      </c>
      <c r="J132" s="30"/>
      <c r="K132" s="30"/>
      <c r="L132" s="28">
        <f t="shared" si="33"/>
        <v>8196</v>
      </c>
      <c r="M132" s="29"/>
      <c r="N132" s="30"/>
      <c r="O132" s="30"/>
      <c r="P132" s="30"/>
      <c r="Q132" s="29">
        <f t="shared" si="31"/>
        <v>8196</v>
      </c>
      <c r="R132" s="29">
        <v>8196</v>
      </c>
      <c r="S132" s="30"/>
      <c r="T132" s="26"/>
      <c r="U132" s="27"/>
      <c r="V132" s="25" t="e">
        <f t="shared" si="32"/>
        <v>#DIV/0!</v>
      </c>
      <c r="W132" s="27"/>
      <c r="X132" s="27"/>
      <c r="Y132" s="27"/>
      <c r="Z132" s="27"/>
    </row>
    <row r="133" spans="1:26" hidden="1" x14ac:dyDescent="0.25">
      <c r="A133" s="37">
        <v>7</v>
      </c>
      <c r="B133" s="19" t="s">
        <v>143</v>
      </c>
      <c r="C133" s="28">
        <f t="shared" si="29"/>
        <v>0</v>
      </c>
      <c r="D133" s="29"/>
      <c r="E133" s="30"/>
      <c r="F133" s="30"/>
      <c r="G133" s="30"/>
      <c r="H133" s="29">
        <f t="shared" si="30"/>
        <v>0</v>
      </c>
      <c r="I133" s="30"/>
      <c r="J133" s="30"/>
      <c r="K133" s="30"/>
      <c r="L133" s="28">
        <f t="shared" si="33"/>
        <v>0</v>
      </c>
      <c r="M133" s="29"/>
      <c r="N133" s="30"/>
      <c r="O133" s="30"/>
      <c r="P133" s="30"/>
      <c r="Q133" s="29">
        <f t="shared" si="31"/>
        <v>0</v>
      </c>
      <c r="R133" s="29"/>
      <c r="S133" s="30"/>
      <c r="T133" s="26"/>
      <c r="U133" s="27"/>
      <c r="V133" s="25" t="e">
        <f t="shared" si="32"/>
        <v>#DIV/0!</v>
      </c>
      <c r="W133" s="27"/>
      <c r="X133" s="27"/>
      <c r="Y133" s="27"/>
      <c r="Z133" s="27"/>
    </row>
    <row r="134" spans="1:26" hidden="1" x14ac:dyDescent="0.25">
      <c r="A134" s="37">
        <v>8</v>
      </c>
      <c r="B134" s="19" t="s">
        <v>144</v>
      </c>
      <c r="C134" s="28">
        <f t="shared" si="29"/>
        <v>8</v>
      </c>
      <c r="D134" s="29"/>
      <c r="E134" s="30"/>
      <c r="F134" s="30"/>
      <c r="G134" s="30"/>
      <c r="H134" s="29">
        <f t="shared" si="30"/>
        <v>8</v>
      </c>
      <c r="I134" s="30">
        <v>8</v>
      </c>
      <c r="J134" s="30"/>
      <c r="K134" s="30"/>
      <c r="L134" s="28">
        <f t="shared" si="33"/>
        <v>0</v>
      </c>
      <c r="M134" s="29"/>
      <c r="N134" s="30"/>
      <c r="O134" s="30"/>
      <c r="P134" s="30"/>
      <c r="Q134" s="29">
        <f t="shared" si="31"/>
        <v>0</v>
      </c>
      <c r="R134" s="29"/>
      <c r="S134" s="30"/>
      <c r="T134" s="26"/>
      <c r="U134" s="27"/>
      <c r="V134" s="25" t="e">
        <f t="shared" si="32"/>
        <v>#DIV/0!</v>
      </c>
      <c r="W134" s="27"/>
      <c r="X134" s="27"/>
      <c r="Y134" s="27"/>
      <c r="Z134" s="27"/>
    </row>
    <row r="135" spans="1:26" hidden="1" x14ac:dyDescent="0.25">
      <c r="A135" s="37">
        <v>9</v>
      </c>
      <c r="B135" s="19" t="s">
        <v>145</v>
      </c>
      <c r="C135" s="28">
        <f t="shared" si="29"/>
        <v>56</v>
      </c>
      <c r="D135" s="29"/>
      <c r="E135" s="30"/>
      <c r="F135" s="30"/>
      <c r="G135" s="30"/>
      <c r="H135" s="29">
        <f t="shared" si="30"/>
        <v>56</v>
      </c>
      <c r="I135" s="29">
        <v>56</v>
      </c>
      <c r="J135" s="30"/>
      <c r="K135" s="30"/>
      <c r="L135" s="28">
        <f t="shared" si="33"/>
        <v>56</v>
      </c>
      <c r="M135" s="29"/>
      <c r="N135" s="30"/>
      <c r="O135" s="30"/>
      <c r="P135" s="30"/>
      <c r="Q135" s="29">
        <f t="shared" si="31"/>
        <v>56</v>
      </c>
      <c r="R135" s="29">
        <v>56</v>
      </c>
      <c r="S135" s="30"/>
      <c r="T135" s="26"/>
      <c r="U135" s="27"/>
      <c r="V135" s="25" t="e">
        <f t="shared" si="32"/>
        <v>#DIV/0!</v>
      </c>
      <c r="W135" s="27"/>
      <c r="X135" s="27"/>
      <c r="Y135" s="27"/>
      <c r="Z135" s="27"/>
    </row>
  </sheetData>
  <mergeCells count="34">
    <mergeCell ref="X1:Z1"/>
    <mergeCell ref="U6:Z6"/>
    <mergeCell ref="Z7:Z10"/>
    <mergeCell ref="U7:U10"/>
    <mergeCell ref="V7:V10"/>
    <mergeCell ref="W7:W10"/>
    <mergeCell ref="X7:X10"/>
    <mergeCell ref="Y7:Y10"/>
    <mergeCell ref="A4:Z4"/>
    <mergeCell ref="A3:Z3"/>
    <mergeCell ref="W5:Z5"/>
    <mergeCell ref="A2:Z2"/>
    <mergeCell ref="Q1:T1"/>
    <mergeCell ref="A1:C1"/>
    <mergeCell ref="L7:L10"/>
    <mergeCell ref="M7:M10"/>
    <mergeCell ref="I1:K1"/>
    <mergeCell ref="H5:J5"/>
    <mergeCell ref="D7:D10"/>
    <mergeCell ref="E7:E10"/>
    <mergeCell ref="F7:F10"/>
    <mergeCell ref="G7:G10"/>
    <mergeCell ref="H7:J9"/>
    <mergeCell ref="K7:K10"/>
    <mergeCell ref="A6:A10"/>
    <mergeCell ref="B6:B10"/>
    <mergeCell ref="C6:K6"/>
    <mergeCell ref="C7:C10"/>
    <mergeCell ref="L6:T6"/>
    <mergeCell ref="P7:P10"/>
    <mergeCell ref="Q7:S9"/>
    <mergeCell ref="T7:T10"/>
    <mergeCell ref="N7:N10"/>
    <mergeCell ref="O7:O10"/>
  </mergeCells>
  <pageMargins left="0.32" right="0.16" top="0.32" bottom="0.39" header="0.3" footer="0.2"/>
  <pageSetup paperSize="9" scale="70" firstPageNumber="8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03AF92-9A00-4307-AEF5-2EE500AF20B1}"/>
</file>

<file path=customXml/itemProps2.xml><?xml version="1.0" encoding="utf-8"?>
<ds:datastoreItem xmlns:ds="http://schemas.openxmlformats.org/officeDocument/2006/customXml" ds:itemID="{036E386F-F85F-45CA-A7D5-8FEE64435411}"/>
</file>

<file path=customXml/itemProps3.xml><?xml version="1.0" encoding="utf-8"?>
<ds:datastoreItem xmlns:ds="http://schemas.openxmlformats.org/officeDocument/2006/customXml" ds:itemID="{A0731AE2-52EF-4CCB-8EDE-853020DD31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hoavtt</dc:creator>
  <cp:lastModifiedBy>Windows User</cp:lastModifiedBy>
  <cp:lastPrinted>2019-12-29T09:41:20Z</cp:lastPrinted>
  <dcterms:created xsi:type="dcterms:W3CDTF">2019-01-09T09:16:33Z</dcterms:created>
  <dcterms:modified xsi:type="dcterms:W3CDTF">2019-12-30T03:42:28Z</dcterms:modified>
</cp:coreProperties>
</file>